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5.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18.xml" ContentType="application/vnd.openxmlformats-officedocument.drawing+xml"/>
  <Override PartName="/xl/drawings/drawing19.xml" ContentType="application/vnd.openxmlformats-officedocument.drawing+xml"/>
  <Override PartName="/xl/comments6.xml" ContentType="application/vnd.openxmlformats-officedocument.spreadsheetml.comments+xml"/>
  <Override PartName="/xl/drawings/drawing20.xml" ContentType="application/vnd.openxmlformats-officedocument.drawing+xml"/>
  <Override PartName="/xl/comments7.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8.xml" ContentType="application/vnd.openxmlformats-officedocument.spreadsheetml.comments+xml"/>
  <Override PartName="/xl/drawings/drawing25.xml" ContentType="application/vnd.openxmlformats-officedocument.drawing+xml"/>
  <Override PartName="/xl/comments9.xml" ContentType="application/vnd.openxmlformats-officedocument.spreadsheetml.comments+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2.xml" ContentType="application/vnd.ms-excel.person+xml"/>
  <Override PartName="/xl/persons/person3.xml" ContentType="application/vnd.ms-excel.person+xml"/>
  <Override PartName="/xl/persons/person0.xml" ContentType="application/vnd.ms-excel.person+xml"/>
  <Override PartName="/xl/persons/person1.xml" ContentType="application/vnd.ms-excel.person+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C:\Users\rmoreno\Desktop\"/>
    </mc:Choice>
  </mc:AlternateContent>
  <xr:revisionPtr revIDLastSave="0" documentId="13_ncr:1_{8D671E50-B02B-47C8-81E1-AFCBFEAFFC45}" xr6:coauthVersionLast="47" xr6:coauthVersionMax="47" xr10:uidLastSave="{00000000-0000-0000-0000-000000000000}"/>
  <workbookProtection workbookAlgorithmName="SHA-512" workbookHashValue="SHvyzkEKSeippLnLwRV5Q1vHoF6ngmzsMk5F76Waa7c+c7dQ8cxViuSM080Ao6Mx5DMuyMv0OSxgbLdo28p2cg==" workbookSaltValue="yZy64xy3co7xoUbYvTPtWw==" workbookSpinCount="100000" lockStructure="1"/>
  <bookViews>
    <workbookView xWindow="-108" yWindow="-108" windowWidth="23256" windowHeight="12576" tabRatio="978" firstSheet="3" activeTab="4" xr2:uid="{00000000-000D-0000-FFFF-FFFF00000000}"/>
  </bookViews>
  <sheets>
    <sheet name="Hoja1" sheetId="41" state="hidden" r:id="rId1"/>
    <sheet name="Informe Ingresos" sheetId="36" state="hidden" r:id="rId2"/>
    <sheet name="PROTOCOLO INGRESOS" sheetId="39" state="hidden" r:id="rId3"/>
    <sheet name="Datos Generales" sheetId="44" r:id="rId4"/>
    <sheet name="Anexo 1 Matriz Inf Gestión" sheetId="47" r:id="rId5"/>
    <sheet name="Protocolo Inf Gestión" sheetId="46" r:id="rId6"/>
    <sheet name="Anexo 3 Matriz IMG" sheetId="19" r:id="rId7"/>
    <sheet name="1POMCAS" sheetId="1" r:id="rId8"/>
    <sheet name="2PORH" sheetId="2" r:id="rId9"/>
    <sheet name="3PSMV" sheetId="3" r:id="rId10"/>
    <sheet name="4UsoAguas" sheetId="4" r:id="rId11"/>
    <sheet name="5PUEAA" sheetId="5" r:id="rId12"/>
    <sheet name="6POMCASejec" sheetId="6" r:id="rId13"/>
    <sheet name="7Clima" sheetId="8" r:id="rId14"/>
    <sheet name="8Suelo" sheetId="9" r:id="rId15"/>
    <sheet name="9RUNAP" sheetId="10" r:id="rId16"/>
    <sheet name="10Paramos" sheetId="11" r:id="rId17"/>
    <sheet name="11Forest" sheetId="12" r:id="rId18"/>
    <sheet name="12PlanesAP" sheetId="13" r:id="rId19"/>
    <sheet name="13Amenaz" sheetId="14" r:id="rId20"/>
    <sheet name="14Invasor" sheetId="15" r:id="rId21"/>
    <sheet name="15Restaura" sheetId="16" r:id="rId22"/>
    <sheet name="16MIZC" sheetId="17" r:id="rId23"/>
    <sheet name="17PGIRS" sheetId="18" r:id="rId24"/>
    <sheet name="18Sector" sheetId="20" r:id="rId25"/>
    <sheet name="19GAU" sheetId="21" r:id="rId26"/>
    <sheet name="20Negoc" sheetId="22" r:id="rId27"/>
    <sheet name="21TiempoT" sheetId="23" r:id="rId28"/>
    <sheet name="22Autor" sheetId="24" r:id="rId29"/>
    <sheet name="23Sanc" sheetId="25" r:id="rId30"/>
    <sheet name="24POT" sheetId="26" r:id="rId31"/>
    <sheet name="25Redes" sheetId="27" r:id="rId32"/>
    <sheet name="26SIAC" sheetId="28" r:id="rId33"/>
    <sheet name="27Educa" sheetId="29" r:id="rId34"/>
    <sheet name="Observa" sheetId="32" r:id="rId35"/>
    <sheet name="Formulas" sheetId="33"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_xlnm._FilterDatabase" localSheetId="9" hidden="1">'3PSMV'!$E$6:$E$75</definedName>
    <definedName name="_xlnm._FilterDatabase" localSheetId="4" hidden="1">'Anexo 1 Matriz Inf Gestión'!$A$5:$BL$297</definedName>
    <definedName name="_xlnm._FilterDatabase" localSheetId="1" hidden="1">'Informe Ingresos'!$A$6:$XES$320</definedName>
    <definedName name="_Toc467769469" localSheetId="8">'2PORH'!#REF!</definedName>
    <definedName name="_Toc467769470" localSheetId="9">'3PSMV'!#REF!</definedName>
    <definedName name="_Toc467769471" localSheetId="10">'4UsoAguas'!#REF!</definedName>
    <definedName name="_Toc467769472" localSheetId="11">'5PUEAA'!#REF!</definedName>
    <definedName name="_Toc467769473" localSheetId="12">'6POMCASejec'!#REF!</definedName>
    <definedName name="_Toc467769474" localSheetId="13">'7Clima'!#REF!</definedName>
    <definedName name="_Toc467769475" localSheetId="14">'8Suelo'!#REF!</definedName>
    <definedName name="_Toc467769476" localSheetId="15">'9RUNAP'!$B$6</definedName>
    <definedName name="_Toc467769477" localSheetId="16">'10Paramos'!#REF!</definedName>
    <definedName name="_Toc467769478" localSheetId="17">'11Forest'!#REF!</definedName>
    <definedName name="_Toc467769479" localSheetId="18">'12PlanesAP'!#REF!</definedName>
    <definedName name="_Toc467769480" localSheetId="19">'13Amenaz'!#REF!</definedName>
    <definedName name="_Toc467769481" localSheetId="20">'14Invasor'!#REF!</definedName>
    <definedName name="_Toc467769482" localSheetId="21">'15Restaura'!#REF!</definedName>
    <definedName name="_Toc467769483" localSheetId="22">'16MIZC'!#REF!</definedName>
    <definedName name="_Toc467769484" localSheetId="23">'17PGIRS'!#REF!</definedName>
    <definedName name="_Toc467769485" localSheetId="24">'18Sector'!#REF!</definedName>
    <definedName name="_Toc467769486" localSheetId="25">'19GAU'!#REF!</definedName>
    <definedName name="_Toc467769487" localSheetId="26">'20Negoc'!#REF!</definedName>
    <definedName name="_Toc467769488" localSheetId="27">'21TiempoT'!#REF!</definedName>
    <definedName name="_Toc467769489" localSheetId="28">'22Autor'!#REF!</definedName>
    <definedName name="_Toc467769490" localSheetId="29">'23Sanc'!#REF!</definedName>
    <definedName name="_Toc467769491" localSheetId="30">'24POT'!#REF!</definedName>
    <definedName name="_Toc467769492" localSheetId="31">'25Redes'!#REF!</definedName>
    <definedName name="_Toc467769493" localSheetId="32">'26SIAC'!#REF!</definedName>
    <definedName name="_Toc467769494" localSheetId="33">'27Educa'!#REF!</definedName>
    <definedName name="_xlnm.Print_Area" localSheetId="4">'Anexo 1 Matriz Inf Gestión'!$A$3:$AW$297</definedName>
    <definedName name="_xlnm.Print_Area" localSheetId="1">'Informe Ingresos'!#REF!</definedName>
    <definedName name="_xlnm.Print_Area" localSheetId="5">'Protocolo Inf Gestión'!$A$1:$B$44</definedName>
    <definedName name="GASTOS" comment="OPCION SI O NO">[1]Formulas!$D$33:$D$34</definedName>
    <definedName name="Informe" comment="OPCION SI O NO">[1]Formulas!$D$33:$D$34</definedName>
    <definedName name="INGRESOS">'[2]Datos Generales'!$H$5:$H$37</definedName>
    <definedName name="Lista_CAR" localSheetId="4">'[3]Datos Generales'!$H$5:$H$37</definedName>
    <definedName name="Lista_CAR" localSheetId="3">'Datos Generales'!$H$5:$H$37</definedName>
    <definedName name="Lista_CAR" localSheetId="5">'[4]Datos Generales'!$H$5:$H$36</definedName>
    <definedName name="Lista_CAR">#REF!</definedName>
    <definedName name="REPORTE" comment="SI SE REPORTA" localSheetId="4">[5]Formulas!$F$33:$F$34</definedName>
    <definedName name="REPORTE" comment="SI SE REPORTA" localSheetId="3">[6]Formulas!$F$33:$F$34</definedName>
    <definedName name="REPORTE" comment="SI SE REPORTA" localSheetId="5">[4]Formulas!$F$33:$F$34</definedName>
    <definedName name="REPORTE" comment="SI SE REPORTA">Formulas!$F$33:$F$34</definedName>
    <definedName name="SI" comment="OPCION SI O NO" localSheetId="4">[5]Formulas!$D$33:$D$34</definedName>
    <definedName name="SI" comment="OPCION SI O NO" localSheetId="3">[6]Formulas!$D$33:$D$34</definedName>
    <definedName name="SI" comment="OPCION SI O NO" localSheetId="5">[4]Formulas!$D$33:$D$34</definedName>
    <definedName name="SI" comment="OPCION SI O NO">Formulas!$D$33:$D$34</definedName>
    <definedName name="Vigencias" localSheetId="3">'Datos Generales'!$H$39:$H$46</definedName>
    <definedName name="Vigencias" localSheetId="5">'[4]Datos Generales'!$H$38:$H$45</definedName>
    <definedName name="Vigencia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52" i="23" l="1"/>
  <c r="F56" i="23"/>
  <c r="F55" i="23"/>
  <c r="F54" i="23"/>
  <c r="F53" i="23"/>
  <c r="I76" i="24"/>
  <c r="I77" i="24"/>
  <c r="I78" i="24" s="1"/>
  <c r="E78" i="24"/>
  <c r="F78" i="24"/>
  <c r="G78" i="24"/>
  <c r="H78" i="24"/>
  <c r="AZ303" i="47" l="1"/>
  <c r="AZ299" i="47" s="1"/>
  <c r="AP299" i="47"/>
  <c r="AK299" i="47"/>
  <c r="AG299" i="47"/>
  <c r="BC295" i="47"/>
  <c r="BD295" i="47" s="1"/>
  <c r="BB295" i="47"/>
  <c r="BA295" i="47"/>
  <c r="AR295" i="47"/>
  <c r="AQ295" i="47"/>
  <c r="AL295" i="47"/>
  <c r="AA295" i="47"/>
  <c r="Z295" i="47"/>
  <c r="Y295" i="47"/>
  <c r="R295" i="47"/>
  <c r="Q295" i="47"/>
  <c r="P295" i="47"/>
  <c r="O295" i="47"/>
  <c r="BA294" i="47"/>
  <c r="BA293" i="47" s="1"/>
  <c r="BB293" i="47" s="1"/>
  <c r="AZ294" i="47"/>
  <c r="AX294" i="47"/>
  <c r="AX293" i="47" s="1"/>
  <c r="AY295" i="47" s="1"/>
  <c r="AW294" i="47"/>
  <c r="AW293" i="47" s="1"/>
  <c r="AY293" i="47" s="1"/>
  <c r="AV294" i="47"/>
  <c r="AV293" i="47" s="1"/>
  <c r="AU294" i="47"/>
  <c r="AU293" i="47" s="1"/>
  <c r="AT294" i="47"/>
  <c r="AT293" i="47" s="1"/>
  <c r="AS294" i="47"/>
  <c r="AP294" i="47"/>
  <c r="AQ294" i="47" s="1"/>
  <c r="AO294" i="47"/>
  <c r="AN294" i="47"/>
  <c r="AM294" i="47"/>
  <c r="AK294" i="47"/>
  <c r="AK293" i="47" s="1"/>
  <c r="AL293" i="47" s="1"/>
  <c r="AJ294" i="47"/>
  <c r="AI294" i="47"/>
  <c r="AH294" i="47"/>
  <c r="AH293" i="47" s="1"/>
  <c r="AG294" i="47"/>
  <c r="AG293" i="47" s="1"/>
  <c r="AA294" i="47"/>
  <c r="AA293" i="47" s="1"/>
  <c r="R294" i="47"/>
  <c r="Q294" i="47"/>
  <c r="Q293" i="47" s="1"/>
  <c r="P294" i="47"/>
  <c r="P293" i="47" s="1"/>
  <c r="O294" i="47"/>
  <c r="O293" i="47" s="1"/>
  <c r="AZ293" i="47"/>
  <c r="AS293" i="47"/>
  <c r="AP293" i="47"/>
  <c r="AQ293" i="47" s="1"/>
  <c r="AO293" i="47"/>
  <c r="AN293" i="47"/>
  <c r="AM293" i="47"/>
  <c r="AJ293" i="47"/>
  <c r="R293" i="47"/>
  <c r="BC292" i="47"/>
  <c r="BD292" i="47" s="1"/>
  <c r="BA292" i="47"/>
  <c r="BB292" i="47" s="1"/>
  <c r="AY292" i="47"/>
  <c r="AR292" i="47"/>
  <c r="AQ292" i="47"/>
  <c r="AL292" i="47"/>
  <c r="Z292" i="47"/>
  <c r="AA292" i="47" s="1"/>
  <c r="Y292" i="47"/>
  <c r="R292" i="47"/>
  <c r="Q292" i="47"/>
  <c r="P292" i="47"/>
  <c r="O292" i="47"/>
  <c r="BC291" i="47"/>
  <c r="BD291" i="47" s="1"/>
  <c r="BA291" i="47"/>
  <c r="BB291" i="47" s="1"/>
  <c r="AY291" i="47"/>
  <c r="AR291" i="47"/>
  <c r="AQ291" i="47"/>
  <c r="AL291" i="47"/>
  <c r="Z291" i="47"/>
  <c r="AA291" i="47" s="1"/>
  <c r="Y291" i="47"/>
  <c r="R291" i="47"/>
  <c r="Q291" i="47"/>
  <c r="P291" i="47"/>
  <c r="O291" i="47"/>
  <c r="BA290" i="47"/>
  <c r="BB290" i="47" s="1"/>
  <c r="AY290" i="47"/>
  <c r="AT290" i="47"/>
  <c r="AT289" i="47" s="1"/>
  <c r="BC289" i="47" s="1"/>
  <c r="BD289" i="47" s="1"/>
  <c r="AS290" i="47"/>
  <c r="AR290" i="47"/>
  <c r="AQ290" i="47"/>
  <c r="AL290" i="47"/>
  <c r="AH290" i="47"/>
  <c r="AH289" i="47" s="1"/>
  <c r="BA289" i="47" s="1"/>
  <c r="BB289" i="47" s="1"/>
  <c r="Z290" i="47"/>
  <c r="Y290" i="47"/>
  <c r="AA290" i="47" s="1"/>
  <c r="R290" i="47"/>
  <c r="Q290" i="47"/>
  <c r="P290" i="47"/>
  <c r="P289" i="47" s="1"/>
  <c r="O290" i="47"/>
  <c r="AZ289" i="47"/>
  <c r="AX289" i="47"/>
  <c r="AW289" i="47"/>
  <c r="AV289" i="47"/>
  <c r="AU289" i="47"/>
  <c r="AS289" i="47"/>
  <c r="AR289" i="47"/>
  <c r="AP289" i="47"/>
  <c r="AQ289" i="47" s="1"/>
  <c r="AO289" i="47"/>
  <c r="AN289" i="47"/>
  <c r="AM289" i="47"/>
  <c r="AL289" i="47"/>
  <c r="AK289" i="47"/>
  <c r="AJ289" i="47"/>
  <c r="AI289" i="47"/>
  <c r="AG289" i="47"/>
  <c r="Z289" i="47"/>
  <c r="Q289" i="47"/>
  <c r="O289" i="47"/>
  <c r="BC288" i="47"/>
  <c r="BD288" i="47" s="1"/>
  <c r="BA288" i="47"/>
  <c r="BB288" i="47" s="1"/>
  <c r="AR288" i="47"/>
  <c r="AR287" i="47" s="1"/>
  <c r="AQ288" i="47"/>
  <c r="AL288" i="47"/>
  <c r="Z288" i="47"/>
  <c r="AA288" i="47" s="1"/>
  <c r="AA287" i="47" s="1"/>
  <c r="Y288" i="47"/>
  <c r="Q288" i="47"/>
  <c r="P288" i="47"/>
  <c r="P287" i="47" s="1"/>
  <c r="O288" i="47"/>
  <c r="BC287" i="47"/>
  <c r="BD287" i="47" s="1"/>
  <c r="AZ287" i="47"/>
  <c r="AZ286" i="47" s="1"/>
  <c r="AX287" i="47"/>
  <c r="AW287" i="47"/>
  <c r="AW286" i="47" s="1"/>
  <c r="AV287" i="47"/>
  <c r="AU287" i="47"/>
  <c r="AT287" i="47"/>
  <c r="AS287" i="47"/>
  <c r="AP287" i="47"/>
  <c r="AO287" i="47"/>
  <c r="AN287" i="47"/>
  <c r="AM287" i="47"/>
  <c r="AL287" i="47"/>
  <c r="AK287" i="47"/>
  <c r="AJ287" i="47"/>
  <c r="AI287" i="47"/>
  <c r="AI286" i="47" s="1"/>
  <c r="AH287" i="47"/>
  <c r="BA287" i="47" s="1"/>
  <c r="BB287" i="47" s="1"/>
  <c r="AG287" i="47"/>
  <c r="Z287" i="47"/>
  <c r="Q287" i="47"/>
  <c r="AV286" i="47"/>
  <c r="AU286" i="47"/>
  <c r="AN286" i="47"/>
  <c r="AM286" i="47"/>
  <c r="AK286" i="47"/>
  <c r="AL286" i="47" s="1"/>
  <c r="AJ286" i="47"/>
  <c r="AH286" i="47"/>
  <c r="AG286" i="47"/>
  <c r="Z286" i="47"/>
  <c r="BD285" i="47"/>
  <c r="BC285" i="47"/>
  <c r="BB285" i="47"/>
  <c r="BA285" i="47"/>
  <c r="AY285" i="47"/>
  <c r="AR285" i="47"/>
  <c r="AQ285" i="47"/>
  <c r="AL285" i="47"/>
  <c r="AA285" i="47"/>
  <c r="AA284" i="47" s="1"/>
  <c r="Z285" i="47"/>
  <c r="Y285" i="47"/>
  <c r="R285" i="47"/>
  <c r="R284" i="47" s="1"/>
  <c r="Q285" i="47"/>
  <c r="P285" i="47"/>
  <c r="O285" i="47"/>
  <c r="O284" i="47" s="1"/>
  <c r="AZ284" i="47"/>
  <c r="AX284" i="47"/>
  <c r="AW284" i="47"/>
  <c r="AV284" i="47"/>
  <c r="AU284" i="47"/>
  <c r="AT284" i="47"/>
  <c r="BC284" i="47" s="1"/>
  <c r="BD284" i="47" s="1"/>
  <c r="AS284" i="47"/>
  <c r="AR284" i="47"/>
  <c r="AP284" i="47"/>
  <c r="AQ284" i="47" s="1"/>
  <c r="AO284" i="47"/>
  <c r="AN284" i="47"/>
  <c r="AM284" i="47"/>
  <c r="AK284" i="47"/>
  <c r="AL284" i="47" s="1"/>
  <c r="AJ284" i="47"/>
  <c r="AI284" i="47"/>
  <c r="AH284" i="47"/>
  <c r="AG284" i="47"/>
  <c r="Z284" i="47"/>
  <c r="Q284" i="47"/>
  <c r="P284" i="47"/>
  <c r="BC283" i="47"/>
  <c r="BD283" i="47" s="1"/>
  <c r="BB283" i="47"/>
  <c r="BA283" i="47"/>
  <c r="AY283" i="47"/>
  <c r="AR283" i="47"/>
  <c r="AR282" i="47" s="1"/>
  <c r="AR278" i="47" s="1"/>
  <c r="AQ283" i="47"/>
  <c r="AL283" i="47"/>
  <c r="AA283" i="47"/>
  <c r="Z283" i="47"/>
  <c r="Y283" i="47"/>
  <c r="R283" i="47"/>
  <c r="Q283" i="47"/>
  <c r="P283" i="47"/>
  <c r="O283" i="47"/>
  <c r="AZ282" i="47"/>
  <c r="AX282" i="47"/>
  <c r="AW282" i="47"/>
  <c r="AY282" i="47" s="1"/>
  <c r="AV282" i="47"/>
  <c r="AU282" i="47"/>
  <c r="AU278" i="47" s="1"/>
  <c r="AT282" i="47"/>
  <c r="BC282" i="47" s="1"/>
  <c r="BD282" i="47" s="1"/>
  <c r="AS282" i="47"/>
  <c r="AS278" i="47" s="1"/>
  <c r="AQ282" i="47"/>
  <c r="AP282" i="47"/>
  <c r="AO282" i="47"/>
  <c r="AN282" i="47"/>
  <c r="AM282" i="47"/>
  <c r="AK282" i="47"/>
  <c r="AJ282" i="47"/>
  <c r="AI282" i="47"/>
  <c r="AH282" i="47"/>
  <c r="BA282" i="47" s="1"/>
  <c r="BB282" i="47" s="1"/>
  <c r="AG282" i="47"/>
  <c r="AA282" i="47"/>
  <c r="Z282" i="47"/>
  <c r="R282" i="47"/>
  <c r="Q282" i="47"/>
  <c r="P282" i="47"/>
  <c r="O282" i="47"/>
  <c r="BD281" i="47"/>
  <c r="BC281" i="47"/>
  <c r="BA281" i="47"/>
  <c r="BB281" i="47" s="1"/>
  <c r="AY281" i="47"/>
  <c r="AR281" i="47"/>
  <c r="AQ281" i="47"/>
  <c r="AL281" i="47"/>
  <c r="Z281" i="47"/>
  <c r="AA281" i="47" s="1"/>
  <c r="Y281" i="47"/>
  <c r="R281" i="47"/>
  <c r="Q281" i="47"/>
  <c r="P281" i="47"/>
  <c r="O281" i="47"/>
  <c r="BC280" i="47"/>
  <c r="BD280" i="47" s="1"/>
  <c r="AT280" i="47"/>
  <c r="AS280" i="47"/>
  <c r="AR280" i="47"/>
  <c r="AQ280" i="47"/>
  <c r="AL280" i="47"/>
  <c r="AH280" i="47"/>
  <c r="Z280" i="47"/>
  <c r="AA280" i="47" s="1"/>
  <c r="Y280" i="47"/>
  <c r="R280" i="47"/>
  <c r="R279" i="47" s="1"/>
  <c r="Q280" i="47"/>
  <c r="Q279" i="47" s="1"/>
  <c r="P280" i="47"/>
  <c r="O280" i="47"/>
  <c r="AZ279" i="47"/>
  <c r="AZ278" i="47" s="1"/>
  <c r="AX279" i="47"/>
  <c r="AW279" i="47"/>
  <c r="AV279" i="47"/>
  <c r="AU279" i="47"/>
  <c r="AT279" i="47"/>
  <c r="AS279" i="47"/>
  <c r="AR279" i="47"/>
  <c r="AP279" i="47"/>
  <c r="AO279" i="47"/>
  <c r="AN279" i="47"/>
  <c r="AN278" i="47" s="1"/>
  <c r="AM279" i="47"/>
  <c r="AK279" i="47"/>
  <c r="AJ279" i="47"/>
  <c r="AJ278" i="47" s="1"/>
  <c r="AI279" i="47"/>
  <c r="AI278" i="47" s="1"/>
  <c r="AG279" i="47"/>
  <c r="AG278" i="47" s="1"/>
  <c r="AA279" i="47"/>
  <c r="AA278" i="47" s="1"/>
  <c r="Z279" i="47"/>
  <c r="AO278" i="47"/>
  <c r="AM278" i="47"/>
  <c r="Z278" i="47"/>
  <c r="BD277" i="47"/>
  <c r="BC277" i="47"/>
  <c r="BA277" i="47"/>
  <c r="BB277" i="47" s="1"/>
  <c r="AY277" i="47"/>
  <c r="AR277" i="47"/>
  <c r="AQ277" i="47"/>
  <c r="AL277" i="47"/>
  <c r="AA277" i="47"/>
  <c r="Z277" i="47"/>
  <c r="Y277" i="47"/>
  <c r="R277" i="47"/>
  <c r="Q277" i="47"/>
  <c r="P277" i="47"/>
  <c r="O277" i="47"/>
  <c r="BC276" i="47"/>
  <c r="BD276" i="47" s="1"/>
  <c r="BA276" i="47"/>
  <c r="BB276" i="47" s="1"/>
  <c r="AY276" i="47"/>
  <c r="AR276" i="47"/>
  <c r="AQ276" i="47"/>
  <c r="AL276" i="47"/>
  <c r="Z276" i="47"/>
  <c r="AA276" i="47" s="1"/>
  <c r="Y276" i="47"/>
  <c r="R276" i="47"/>
  <c r="Q276" i="47"/>
  <c r="P276" i="47"/>
  <c r="O276" i="47"/>
  <c r="BD275" i="47"/>
  <c r="BC275" i="47"/>
  <c r="BA275" i="47"/>
  <c r="BB275" i="47" s="1"/>
  <c r="AY275" i="47"/>
  <c r="AR275" i="47"/>
  <c r="AQ275" i="47"/>
  <c r="AL275" i="47"/>
  <c r="Z275" i="47"/>
  <c r="AA275" i="47" s="1"/>
  <c r="Y275" i="47"/>
  <c r="R275" i="47"/>
  <c r="Q275" i="47"/>
  <c r="P275" i="47"/>
  <c r="O275" i="47"/>
  <c r="BC274" i="47"/>
  <c r="BD274" i="47" s="1"/>
  <c r="BB274" i="47"/>
  <c r="BA274" i="47"/>
  <c r="AY274" i="47"/>
  <c r="AR274" i="47"/>
  <c r="AQ274" i="47"/>
  <c r="AL274" i="47"/>
  <c r="Z274" i="47"/>
  <c r="AA274" i="47" s="1"/>
  <c r="Y274" i="47"/>
  <c r="R274" i="47"/>
  <c r="Q274" i="47"/>
  <c r="P274" i="47"/>
  <c r="O274" i="47"/>
  <c r="BD273" i="47"/>
  <c r="BC273" i="47"/>
  <c r="BA273" i="47"/>
  <c r="BB273" i="47" s="1"/>
  <c r="AY273" i="47"/>
  <c r="AR273" i="47"/>
  <c r="AQ273" i="47"/>
  <c r="AL273" i="47"/>
  <c r="AA273" i="47"/>
  <c r="Z273" i="47"/>
  <c r="Y273" i="47"/>
  <c r="R273" i="47"/>
  <c r="Q273" i="47"/>
  <c r="P273" i="47"/>
  <c r="O273" i="47"/>
  <c r="BD272" i="47"/>
  <c r="BC272" i="47"/>
  <c r="BB272" i="47"/>
  <c r="BA272" i="47"/>
  <c r="AR272" i="47"/>
  <c r="AQ272" i="47"/>
  <c r="AL272" i="47"/>
  <c r="AA272" i="47"/>
  <c r="Z272" i="47"/>
  <c r="Y272" i="47"/>
  <c r="R272" i="47"/>
  <c r="Q272" i="47"/>
  <c r="Q271" i="47" s="1"/>
  <c r="Q270" i="47" s="1"/>
  <c r="P272" i="47"/>
  <c r="P271" i="47" s="1"/>
  <c r="P270" i="47" s="1"/>
  <c r="O272" i="47"/>
  <c r="O271" i="47" s="1"/>
  <c r="O270" i="47" s="1"/>
  <c r="BC271" i="47"/>
  <c r="BD271" i="47" s="1"/>
  <c r="BB271" i="47"/>
  <c r="AZ271" i="47"/>
  <c r="AX271" i="47"/>
  <c r="AW271" i="47"/>
  <c r="AY271" i="47" s="1"/>
  <c r="AV271" i="47"/>
  <c r="AU271" i="47"/>
  <c r="AT271" i="47"/>
  <c r="AS271" i="47"/>
  <c r="AP271" i="47"/>
  <c r="AP270" i="47" s="1"/>
  <c r="AQ270" i="47" s="1"/>
  <c r="AO271" i="47"/>
  <c r="AO270" i="47" s="1"/>
  <c r="AN271" i="47"/>
  <c r="AM271" i="47"/>
  <c r="AM270" i="47" s="1"/>
  <c r="AK271" i="47"/>
  <c r="AK270" i="47" s="1"/>
  <c r="AL270" i="47" s="1"/>
  <c r="AJ271" i="47"/>
  <c r="AJ270" i="47" s="1"/>
  <c r="BA270" i="47" s="1"/>
  <c r="BB270" i="47" s="1"/>
  <c r="AI271" i="47"/>
  <c r="BA271" i="47" s="1"/>
  <c r="AH271" i="47"/>
  <c r="AG271" i="47"/>
  <c r="Z271" i="47"/>
  <c r="R271" i="47"/>
  <c r="AZ270" i="47"/>
  <c r="AX270" i="47"/>
  <c r="AY272" i="47" s="1"/>
  <c r="AW270" i="47"/>
  <c r="AY270" i="47" s="1"/>
  <c r="AV270" i="47"/>
  <c r="AU270" i="47"/>
  <c r="AT270" i="47"/>
  <c r="AS270" i="47"/>
  <c r="AN270" i="47"/>
  <c r="AI270" i="47"/>
  <c r="AH270" i="47"/>
  <c r="AG270" i="47"/>
  <c r="Z270" i="47"/>
  <c r="R270" i="47"/>
  <c r="BC269" i="47"/>
  <c r="BD269" i="47" s="1"/>
  <c r="BB269" i="47"/>
  <c r="BA269" i="47"/>
  <c r="AY269" i="47"/>
  <c r="AR269" i="47"/>
  <c r="AR268" i="47" s="1"/>
  <c r="AQ269" i="47"/>
  <c r="AL269" i="47"/>
  <c r="Z269" i="47"/>
  <c r="AA269" i="47" s="1"/>
  <c r="AA268" i="47" s="1"/>
  <c r="R269" i="47"/>
  <c r="Q269" i="47"/>
  <c r="P269" i="47"/>
  <c r="O269" i="47"/>
  <c r="O268" i="47" s="1"/>
  <c r="AZ268" i="47"/>
  <c r="AX268" i="47"/>
  <c r="AW268" i="47"/>
  <c r="AY268" i="47" s="1"/>
  <c r="AV268" i="47"/>
  <c r="AU268" i="47"/>
  <c r="AT268" i="47"/>
  <c r="BC268" i="47" s="1"/>
  <c r="BD268" i="47" s="1"/>
  <c r="AS268" i="47"/>
  <c r="AP268" i="47"/>
  <c r="AO268" i="47"/>
  <c r="AN268" i="47"/>
  <c r="AM268" i="47"/>
  <c r="AK268" i="47"/>
  <c r="AL268" i="47" s="1"/>
  <c r="AJ268" i="47"/>
  <c r="AI268" i="47"/>
  <c r="BA268" i="47" s="1"/>
  <c r="BB268" i="47" s="1"/>
  <c r="AH268" i="47"/>
  <c r="AG268" i="47"/>
  <c r="AQ268" i="47" s="1"/>
  <c r="Z268" i="47"/>
  <c r="R268" i="47"/>
  <c r="Q268" i="47"/>
  <c r="P268" i="47"/>
  <c r="BD267" i="47"/>
  <c r="BC267" i="47"/>
  <c r="BB267" i="47"/>
  <c r="BA267" i="47"/>
  <c r="AY267" i="47"/>
  <c r="AR267" i="47"/>
  <c r="AQ267" i="47"/>
  <c r="AL267" i="47"/>
  <c r="Z267" i="47"/>
  <c r="AA267" i="47" s="1"/>
  <c r="AA266" i="47" s="1"/>
  <c r="R267" i="47"/>
  <c r="R266" i="47" s="1"/>
  <c r="Q267" i="47"/>
  <c r="P267" i="47"/>
  <c r="O267" i="47"/>
  <c r="AZ266" i="47"/>
  <c r="AX266" i="47"/>
  <c r="AW266" i="47"/>
  <c r="AY266" i="47" s="1"/>
  <c r="AV266" i="47"/>
  <c r="AU266" i="47"/>
  <c r="AT266" i="47"/>
  <c r="AS266" i="47"/>
  <c r="AS260" i="47" s="1"/>
  <c r="AR266" i="47"/>
  <c r="AP266" i="47"/>
  <c r="AQ266" i="47" s="1"/>
  <c r="AO266" i="47"/>
  <c r="AO260" i="47" s="1"/>
  <c r="AN266" i="47"/>
  <c r="AN260" i="47" s="1"/>
  <c r="AM266" i="47"/>
  <c r="BC266" i="47" s="1"/>
  <c r="BD266" i="47" s="1"/>
  <c r="AL266" i="47"/>
  <c r="AK266" i="47"/>
  <c r="AJ266" i="47"/>
  <c r="BA266" i="47" s="1"/>
  <c r="BB266" i="47" s="1"/>
  <c r="AI266" i="47"/>
  <c r="AH266" i="47"/>
  <c r="AG266" i="47"/>
  <c r="Z266" i="47"/>
  <c r="Q266" i="47"/>
  <c r="P266" i="47"/>
  <c r="P260" i="47" s="1"/>
  <c r="O266" i="47"/>
  <c r="BD265" i="47"/>
  <c r="BC265" i="47"/>
  <c r="BB265" i="47"/>
  <c r="BA265" i="47"/>
  <c r="AY265" i="47"/>
  <c r="AR265" i="47"/>
  <c r="AQ265" i="47"/>
  <c r="AL265" i="47"/>
  <c r="Z265" i="47"/>
  <c r="AA265" i="47" s="1"/>
  <c r="Y265" i="47"/>
  <c r="R265" i="47"/>
  <c r="Q265" i="47"/>
  <c r="P265" i="47"/>
  <c r="O265" i="47"/>
  <c r="BC264" i="47"/>
  <c r="BD264" i="47" s="1"/>
  <c r="BB264" i="47"/>
  <c r="BA264" i="47"/>
  <c r="AY264" i="47"/>
  <c r="AR264" i="47"/>
  <c r="AQ264" i="47"/>
  <c r="AL264" i="47"/>
  <c r="Z264" i="47"/>
  <c r="AA264" i="47" s="1"/>
  <c r="Y264" i="47"/>
  <c r="R264" i="47"/>
  <c r="Q264" i="47"/>
  <c r="P264" i="47"/>
  <c r="O264" i="47"/>
  <c r="BC263" i="47"/>
  <c r="BD263" i="47" s="1"/>
  <c r="BA263" i="47"/>
  <c r="BB263" i="47" s="1"/>
  <c r="AY263" i="47"/>
  <c r="AR263" i="47"/>
  <c r="AQ263" i="47"/>
  <c r="AL263" i="47"/>
  <c r="AA263" i="47"/>
  <c r="Z263" i="47"/>
  <c r="Y263" i="47"/>
  <c r="R263" i="47"/>
  <c r="Q263" i="47"/>
  <c r="P263" i="47"/>
  <c r="O263" i="47"/>
  <c r="BD262" i="47"/>
  <c r="BC262" i="47"/>
  <c r="BA262" i="47"/>
  <c r="BB262" i="47" s="1"/>
  <c r="AR262" i="47"/>
  <c r="AQ262" i="47"/>
  <c r="AL262" i="47"/>
  <c r="AA262" i="47"/>
  <c r="Z262" i="47"/>
  <c r="Y262" i="47"/>
  <c r="R262" i="47"/>
  <c r="Q262" i="47"/>
  <c r="P262" i="47"/>
  <c r="P261" i="47" s="1"/>
  <c r="O262" i="47"/>
  <c r="AZ261" i="47"/>
  <c r="AX261" i="47"/>
  <c r="AW261" i="47"/>
  <c r="AY261" i="47" s="1"/>
  <c r="AV261" i="47"/>
  <c r="AV260" i="47" s="1"/>
  <c r="AU261" i="47"/>
  <c r="AU260" i="47" s="1"/>
  <c r="AT261" i="47"/>
  <c r="AS261" i="47"/>
  <c r="AP261" i="47"/>
  <c r="AO261" i="47"/>
  <c r="AN261" i="47"/>
  <c r="AM261" i="47"/>
  <c r="AK261" i="47"/>
  <c r="AK260" i="47" s="1"/>
  <c r="AJ261" i="47"/>
  <c r="AJ260" i="47" s="1"/>
  <c r="AI261" i="47"/>
  <c r="AH261" i="47"/>
  <c r="BA261" i="47" s="1"/>
  <c r="AG261" i="47"/>
  <c r="AG260" i="47" s="1"/>
  <c r="AA261" i="47"/>
  <c r="AA260" i="47" s="1"/>
  <c r="R261" i="47"/>
  <c r="R260" i="47" s="1"/>
  <c r="Q261" i="47"/>
  <c r="AZ260" i="47"/>
  <c r="AX260" i="47"/>
  <c r="AY262" i="47" s="1"/>
  <c r="AW260" i="47"/>
  <c r="AY260" i="47" s="1"/>
  <c r="AI260" i="47"/>
  <c r="AH260" i="47"/>
  <c r="BD259" i="47"/>
  <c r="BC259" i="47"/>
  <c r="BB259" i="47"/>
  <c r="BA259" i="47"/>
  <c r="AR259" i="47"/>
  <c r="AQ259" i="47"/>
  <c r="AL259" i="47"/>
  <c r="Z259" i="47"/>
  <c r="Y259" i="47"/>
  <c r="R259" i="47"/>
  <c r="Q259" i="47"/>
  <c r="P259" i="47"/>
  <c r="O259" i="47"/>
  <c r="BD258" i="47"/>
  <c r="BC258" i="47"/>
  <c r="BA258" i="47"/>
  <c r="BB258" i="47" s="1"/>
  <c r="AY258" i="47"/>
  <c r="AR258" i="47"/>
  <c r="AQ258" i="47"/>
  <c r="AL258" i="47"/>
  <c r="Z258" i="47"/>
  <c r="AA258" i="47" s="1"/>
  <c r="Y258" i="47"/>
  <c r="R258" i="47"/>
  <c r="R257" i="47" s="1"/>
  <c r="Q258" i="47"/>
  <c r="Q257" i="47" s="1"/>
  <c r="P258" i="47"/>
  <c r="P257" i="47" s="1"/>
  <c r="O258" i="47"/>
  <c r="AZ257" i="47"/>
  <c r="AX257" i="47"/>
  <c r="AY259" i="47" s="1"/>
  <c r="AW257" i="47"/>
  <c r="AY257" i="47" s="1"/>
  <c r="AV257" i="47"/>
  <c r="AU257" i="47"/>
  <c r="AT257" i="47"/>
  <c r="AS257" i="47"/>
  <c r="AS250" i="47" s="1"/>
  <c r="AR257" i="47"/>
  <c r="AP257" i="47"/>
  <c r="AQ257" i="47" s="1"/>
  <c r="AO257" i="47"/>
  <c r="AO250" i="47" s="1"/>
  <c r="AN257" i="47"/>
  <c r="AN250" i="47" s="1"/>
  <c r="AM257" i="47"/>
  <c r="BC257" i="47" s="1"/>
  <c r="BD257" i="47" s="1"/>
  <c r="AL257" i="47"/>
  <c r="AK257" i="47"/>
  <c r="AJ257" i="47"/>
  <c r="AI257" i="47"/>
  <c r="AH257" i="47"/>
  <c r="BA257" i="47" s="1"/>
  <c r="BB257" i="47" s="1"/>
  <c r="AG257" i="47"/>
  <c r="BD256" i="47"/>
  <c r="BC256" i="47"/>
  <c r="BA256" i="47"/>
  <c r="BB256" i="47" s="1"/>
  <c r="AY256" i="47"/>
  <c r="AR256" i="47"/>
  <c r="AQ256" i="47"/>
  <c r="AL256" i="47"/>
  <c r="Z256" i="47"/>
  <c r="AA256" i="47" s="1"/>
  <c r="Y256" i="47"/>
  <c r="R256" i="47"/>
  <c r="Q256" i="47"/>
  <c r="Q251" i="47" s="1"/>
  <c r="P256" i="47"/>
  <c r="O256" i="47"/>
  <c r="BC255" i="47"/>
  <c r="BD255" i="47" s="1"/>
  <c r="BB255" i="47"/>
  <c r="BA255" i="47"/>
  <c r="AY255" i="47"/>
  <c r="AR255" i="47"/>
  <c r="AQ255" i="47"/>
  <c r="AL255" i="47"/>
  <c r="Z255" i="47"/>
  <c r="Y255" i="47"/>
  <c r="AA255" i="47" s="1"/>
  <c r="R255" i="47"/>
  <c r="Q255" i="47"/>
  <c r="P255" i="47"/>
  <c r="O255" i="47"/>
  <c r="BD254" i="47"/>
  <c r="BC254" i="47"/>
  <c r="BA254" i="47"/>
  <c r="BB254" i="47" s="1"/>
  <c r="AY254" i="47"/>
  <c r="AR254" i="47"/>
  <c r="AQ254" i="47"/>
  <c r="AL254" i="47"/>
  <c r="Z254" i="47"/>
  <c r="AA254" i="47" s="1"/>
  <c r="Y254" i="47"/>
  <c r="R254" i="47"/>
  <c r="Q254" i="47"/>
  <c r="P254" i="47"/>
  <c r="O254" i="47"/>
  <c r="O251" i="47" s="1"/>
  <c r="BD253" i="47"/>
  <c r="BC253" i="47"/>
  <c r="BB253" i="47"/>
  <c r="BA253" i="47"/>
  <c r="AR253" i="47"/>
  <c r="AQ253" i="47"/>
  <c r="AL253" i="47"/>
  <c r="AA253" i="47"/>
  <c r="Z253" i="47"/>
  <c r="Y253" i="47"/>
  <c r="R253" i="47"/>
  <c r="Q253" i="47"/>
  <c r="P253" i="47"/>
  <c r="O253" i="47"/>
  <c r="BC252" i="47"/>
  <c r="BD252" i="47" s="1"/>
  <c r="BB252" i="47"/>
  <c r="BA252" i="47"/>
  <c r="AR252" i="47"/>
  <c r="AQ252" i="47"/>
  <c r="AL252" i="47"/>
  <c r="X251" i="47" s="1"/>
  <c r="Z252" i="47"/>
  <c r="AA252" i="47" s="1"/>
  <c r="AA251" i="47" s="1"/>
  <c r="Y252" i="47"/>
  <c r="R252" i="47"/>
  <c r="Q252" i="47"/>
  <c r="P252" i="47"/>
  <c r="O252" i="47"/>
  <c r="AZ251" i="47"/>
  <c r="AY251" i="47"/>
  <c r="AX251" i="47"/>
  <c r="AY253" i="47" s="1"/>
  <c r="AW251" i="47"/>
  <c r="AV251" i="47"/>
  <c r="AV250" i="47" s="1"/>
  <c r="AU251" i="47"/>
  <c r="AU250" i="47" s="1"/>
  <c r="AT251" i="47"/>
  <c r="AT250" i="47" s="1"/>
  <c r="AS251" i="47"/>
  <c r="AP251" i="47"/>
  <c r="AQ251" i="47" s="1"/>
  <c r="AO251" i="47"/>
  <c r="AN251" i="47"/>
  <c r="AM251" i="47"/>
  <c r="BC251" i="47" s="1"/>
  <c r="BD251" i="47" s="1"/>
  <c r="AK251" i="47"/>
  <c r="AL251" i="47" s="1"/>
  <c r="AJ251" i="47"/>
  <c r="AI251" i="47"/>
  <c r="AH251" i="47"/>
  <c r="BA251" i="47" s="1"/>
  <c r="BB251" i="47" s="1"/>
  <c r="AG251" i="47"/>
  <c r="W251" i="47"/>
  <c r="V251" i="47"/>
  <c r="U251" i="47"/>
  <c r="T251" i="47"/>
  <c r="R251" i="47"/>
  <c r="BA250" i="47"/>
  <c r="AZ250" i="47"/>
  <c r="BB250" i="47" s="1"/>
  <c r="AY250" i="47"/>
  <c r="AX250" i="47"/>
  <c r="AY252" i="47" s="1"/>
  <c r="AW250" i="47"/>
  <c r="AK250" i="47"/>
  <c r="AL250" i="47" s="1"/>
  <c r="AJ250" i="47"/>
  <c r="AI250" i="47"/>
  <c r="AH250" i="47"/>
  <c r="AG250" i="47"/>
  <c r="BD249" i="47"/>
  <c r="BC249" i="47"/>
  <c r="BB249" i="47"/>
  <c r="BA249" i="47"/>
  <c r="AY249" i="47"/>
  <c r="AR249" i="47"/>
  <c r="AQ249" i="47"/>
  <c r="AL249" i="47"/>
  <c r="Z249" i="47"/>
  <c r="Y249" i="47"/>
  <c r="AA249" i="47" s="1"/>
  <c r="R249" i="47"/>
  <c r="Q249" i="47"/>
  <c r="P249" i="47"/>
  <c r="O249" i="47"/>
  <c r="BC248" i="47"/>
  <c r="BD248" i="47" s="1"/>
  <c r="BA248" i="47"/>
  <c r="BB248" i="47" s="1"/>
  <c r="AR248" i="47"/>
  <c r="AQ248" i="47"/>
  <c r="AL248" i="47"/>
  <c r="Z248" i="47"/>
  <c r="Y248" i="47"/>
  <c r="AA248" i="47" s="1"/>
  <c r="AA246" i="47" s="1"/>
  <c r="R248" i="47"/>
  <c r="Q248" i="47"/>
  <c r="P248" i="47"/>
  <c r="O248" i="47"/>
  <c r="BC247" i="47"/>
  <c r="BD247" i="47" s="1"/>
  <c r="BB247" i="47"/>
  <c r="BA247" i="47"/>
  <c r="AR247" i="47"/>
  <c r="AQ247" i="47"/>
  <c r="AL247" i="47"/>
  <c r="AA247" i="47"/>
  <c r="Z247" i="47"/>
  <c r="Y247" i="47"/>
  <c r="R247" i="47"/>
  <c r="Q247" i="47"/>
  <c r="P247" i="47"/>
  <c r="O247" i="47"/>
  <c r="AZ246" i="47"/>
  <c r="AY246" i="47"/>
  <c r="AX246" i="47"/>
  <c r="AW246" i="47"/>
  <c r="AW245" i="47" s="1"/>
  <c r="AY245" i="47" s="1"/>
  <c r="AV246" i="47"/>
  <c r="AV245" i="47" s="1"/>
  <c r="AU246" i="47"/>
  <c r="AU245" i="47" s="1"/>
  <c r="AT246" i="47"/>
  <c r="AS246" i="47"/>
  <c r="AS245" i="47" s="1"/>
  <c r="AR246" i="47"/>
  <c r="AR245" i="47" s="1"/>
  <c r="AP246" i="47"/>
  <c r="AO246" i="47"/>
  <c r="AN246" i="47"/>
  <c r="AM246" i="47"/>
  <c r="AK246" i="47"/>
  <c r="AK245" i="47" s="1"/>
  <c r="AJ246" i="47"/>
  <c r="AI246" i="47"/>
  <c r="AI245" i="47" s="1"/>
  <c r="AH246" i="47"/>
  <c r="AG246" i="47"/>
  <c r="R246" i="47"/>
  <c r="Q246" i="47"/>
  <c r="P246" i="47"/>
  <c r="P245" i="47" s="1"/>
  <c r="O246" i="47"/>
  <c r="O245" i="47" s="1"/>
  <c r="AZ245" i="47"/>
  <c r="AP245" i="47"/>
  <c r="AO245" i="47"/>
  <c r="AN245" i="47"/>
  <c r="AM245" i="47"/>
  <c r="AJ245" i="47"/>
  <c r="AA245" i="47"/>
  <c r="Y245" i="47"/>
  <c r="R245" i="47"/>
  <c r="Q245" i="47"/>
  <c r="BC244" i="47"/>
  <c r="BD244" i="47" s="1"/>
  <c r="BB244" i="47"/>
  <c r="BA244" i="47"/>
  <c r="AY244" i="47"/>
  <c r="AR244" i="47"/>
  <c r="AQ244" i="47"/>
  <c r="AL244" i="47"/>
  <c r="Z244" i="47"/>
  <c r="Y244" i="47"/>
  <c r="AA244" i="47" s="1"/>
  <c r="R244" i="47"/>
  <c r="Q244" i="47"/>
  <c r="P244" i="47"/>
  <c r="O244" i="47"/>
  <c r="BD243" i="47"/>
  <c r="BC243" i="47"/>
  <c r="BA243" i="47"/>
  <c r="BB243" i="47" s="1"/>
  <c r="AY243" i="47"/>
  <c r="AR243" i="47"/>
  <c r="AQ243" i="47"/>
  <c r="AL243" i="47"/>
  <c r="Z243" i="47"/>
  <c r="AA243" i="47" s="1"/>
  <c r="Y243" i="47"/>
  <c r="R243" i="47"/>
  <c r="Q243" i="47"/>
  <c r="P243" i="47"/>
  <c r="O243" i="47"/>
  <c r="BC242" i="47"/>
  <c r="BD242" i="47" s="1"/>
  <c r="BB242" i="47"/>
  <c r="BA242" i="47"/>
  <c r="AR242" i="47"/>
  <c r="AQ242" i="47"/>
  <c r="AL242" i="47"/>
  <c r="Z242" i="47"/>
  <c r="AA242" i="47" s="1"/>
  <c r="Y242" i="47"/>
  <c r="R242" i="47"/>
  <c r="Q242" i="47"/>
  <c r="P242" i="47"/>
  <c r="O242" i="47"/>
  <c r="BC241" i="47"/>
  <c r="BD241" i="47" s="1"/>
  <c r="BA241" i="47"/>
  <c r="BB241" i="47" s="1"/>
  <c r="AR241" i="47"/>
  <c r="AQ241" i="47"/>
  <c r="AL241" i="47"/>
  <c r="Z241" i="47"/>
  <c r="AA241" i="47" s="1"/>
  <c r="Y241" i="47"/>
  <c r="R241" i="47"/>
  <c r="Q241" i="47"/>
  <c r="P241" i="47"/>
  <c r="O241" i="47"/>
  <c r="AZ240" i="47"/>
  <c r="AZ239" i="47" s="1"/>
  <c r="AY240" i="47"/>
  <c r="AX240" i="47"/>
  <c r="AY242" i="47" s="1"/>
  <c r="AW240" i="47"/>
  <c r="AV240" i="47"/>
  <c r="AU240" i="47"/>
  <c r="AT240" i="47"/>
  <c r="AS240" i="47"/>
  <c r="AS239" i="47" s="1"/>
  <c r="AP240" i="47"/>
  <c r="AO240" i="47"/>
  <c r="AO239" i="47" s="1"/>
  <c r="AN240" i="47"/>
  <c r="AN239" i="47" s="1"/>
  <c r="AM240" i="47"/>
  <c r="AK240" i="47"/>
  <c r="AJ240" i="47"/>
  <c r="AI240" i="47"/>
  <c r="AI239" i="47" s="1"/>
  <c r="AH240" i="47"/>
  <c r="AH239" i="47" s="1"/>
  <c r="AG240" i="47"/>
  <c r="AW239" i="47"/>
  <c r="AY239" i="47" s="1"/>
  <c r="AV239" i="47"/>
  <c r="AU239" i="47"/>
  <c r="AT239" i="47"/>
  <c r="AM239" i="47"/>
  <c r="AK239" i="47"/>
  <c r="AJ239" i="47"/>
  <c r="BC238" i="47"/>
  <c r="BD238" i="47" s="1"/>
  <c r="BB238" i="47"/>
  <c r="BA238" i="47"/>
  <c r="AY238" i="47"/>
  <c r="AR238" i="47"/>
  <c r="AR234" i="47" s="1"/>
  <c r="AQ238" i="47"/>
  <c r="AL238" i="47"/>
  <c r="Z238" i="47"/>
  <c r="AA238" i="47" s="1"/>
  <c r="Y238" i="47"/>
  <c r="R238" i="47"/>
  <c r="Q238" i="47"/>
  <c r="P238" i="47"/>
  <c r="O238" i="47"/>
  <c r="BC237" i="47"/>
  <c r="BD237" i="47" s="1"/>
  <c r="BA237" i="47"/>
  <c r="BB237" i="47" s="1"/>
  <c r="AY237" i="47"/>
  <c r="AR237" i="47"/>
  <c r="AQ237" i="47"/>
  <c r="AL237" i="47"/>
  <c r="Z237" i="47"/>
  <c r="AA237" i="47" s="1"/>
  <c r="AA234" i="47" s="1"/>
  <c r="Y237" i="47"/>
  <c r="R237" i="47"/>
  <c r="Q237" i="47"/>
  <c r="P237" i="47"/>
  <c r="O237" i="47"/>
  <c r="BC236" i="47"/>
  <c r="BD236" i="47" s="1"/>
  <c r="BB236" i="47"/>
  <c r="BA236" i="47"/>
  <c r="AR236" i="47"/>
  <c r="AQ236" i="47"/>
  <c r="AL236" i="47"/>
  <c r="Z236" i="47"/>
  <c r="AA236" i="47" s="1"/>
  <c r="Y236" i="47"/>
  <c r="R236" i="47"/>
  <c r="Q236" i="47"/>
  <c r="P236" i="47"/>
  <c r="O236" i="47"/>
  <c r="BD235" i="47"/>
  <c r="BC235" i="47"/>
  <c r="BA235" i="47"/>
  <c r="BB235" i="47" s="1"/>
  <c r="AY235" i="47"/>
  <c r="AR235" i="47"/>
  <c r="AQ235" i="47"/>
  <c r="AL235" i="47"/>
  <c r="Z235" i="47"/>
  <c r="AA235" i="47" s="1"/>
  <c r="Y235" i="47"/>
  <c r="R235" i="47"/>
  <c r="Q235" i="47"/>
  <c r="P235" i="47"/>
  <c r="O235" i="47"/>
  <c r="BC234" i="47"/>
  <c r="BD234" i="47" s="1"/>
  <c r="AZ234" i="47"/>
  <c r="AY234" i="47"/>
  <c r="AX234" i="47"/>
  <c r="AY236" i="47" s="1"/>
  <c r="AW234" i="47"/>
  <c r="AV234" i="47"/>
  <c r="AU234" i="47"/>
  <c r="AT234" i="47"/>
  <c r="AS234" i="47"/>
  <c r="AP234" i="47"/>
  <c r="AQ234" i="47" s="1"/>
  <c r="AO234" i="47"/>
  <c r="AN234" i="47"/>
  <c r="AM234" i="47"/>
  <c r="AK234" i="47"/>
  <c r="AL234" i="47" s="1"/>
  <c r="AJ234" i="47"/>
  <c r="AI234" i="47"/>
  <c r="AH234" i="47"/>
  <c r="BA234" i="47" s="1"/>
  <c r="BB234" i="47" s="1"/>
  <c r="AG234" i="47"/>
  <c r="BD233" i="47"/>
  <c r="BC233" i="47"/>
  <c r="BB233" i="47"/>
  <c r="BA233" i="47"/>
  <c r="AY233" i="47"/>
  <c r="AR233" i="47"/>
  <c r="AQ233" i="47"/>
  <c r="AL233" i="47"/>
  <c r="Z233" i="47"/>
  <c r="AA233" i="47" s="1"/>
  <c r="Y233" i="47"/>
  <c r="R233" i="47"/>
  <c r="Q233" i="47"/>
  <c r="P233" i="47"/>
  <c r="O233" i="47"/>
  <c r="BC232" i="47"/>
  <c r="BD232" i="47" s="1"/>
  <c r="BB232" i="47"/>
  <c r="BA232" i="47"/>
  <c r="AY232" i="47"/>
  <c r="AR232" i="47"/>
  <c r="AQ232" i="47"/>
  <c r="AL232" i="47"/>
  <c r="Z232" i="47"/>
  <c r="Y232" i="47"/>
  <c r="AA232" i="47" s="1"/>
  <c r="R232" i="47"/>
  <c r="Q232" i="47"/>
  <c r="P232" i="47"/>
  <c r="O232" i="47"/>
  <c r="BD231" i="47"/>
  <c r="BC231" i="47"/>
  <c r="BA231" i="47"/>
  <c r="BB231" i="47" s="1"/>
  <c r="AR231" i="47"/>
  <c r="AQ231" i="47"/>
  <c r="AL231" i="47"/>
  <c r="Z231" i="47"/>
  <c r="AA231" i="47" s="1"/>
  <c r="AA230" i="47" s="1"/>
  <c r="Y231" i="47"/>
  <c r="R231" i="47"/>
  <c r="R230" i="47" s="1"/>
  <c r="Q231" i="47"/>
  <c r="P231" i="47"/>
  <c r="O231" i="47"/>
  <c r="O230" i="47" s="1"/>
  <c r="AZ230" i="47"/>
  <c r="AY230" i="47"/>
  <c r="AX230" i="47"/>
  <c r="AW230" i="47"/>
  <c r="AV230" i="47"/>
  <c r="AU230" i="47"/>
  <c r="AT230" i="47"/>
  <c r="AS230" i="47"/>
  <c r="AS229" i="47" s="1"/>
  <c r="AP230" i="47"/>
  <c r="AO230" i="47"/>
  <c r="AO229" i="47" s="1"/>
  <c r="AN230" i="47"/>
  <c r="AN229" i="47" s="1"/>
  <c r="AM230" i="47"/>
  <c r="AK230" i="47"/>
  <c r="AK229" i="47" s="1"/>
  <c r="AJ230" i="47"/>
  <c r="AJ229" i="47" s="1"/>
  <c r="AI230" i="47"/>
  <c r="BA230" i="47" s="1"/>
  <c r="BB230" i="47" s="1"/>
  <c r="AH230" i="47"/>
  <c r="AG230" i="47"/>
  <c r="AZ229" i="47"/>
  <c r="AY229" i="47"/>
  <c r="AX229" i="47"/>
  <c r="AY231" i="47" s="1"/>
  <c r="AW229" i="47"/>
  <c r="AV229" i="47"/>
  <c r="AU229" i="47"/>
  <c r="AT229" i="47"/>
  <c r="AL229" i="47"/>
  <c r="AH229" i="47"/>
  <c r="AG229" i="47"/>
  <c r="BD228" i="47"/>
  <c r="BC228" i="47"/>
  <c r="BB228" i="47"/>
  <c r="BA228" i="47"/>
  <c r="AY228" i="47"/>
  <c r="AR228" i="47"/>
  <c r="AR227" i="47" s="1"/>
  <c r="AR218" i="47" s="1"/>
  <c r="AQ228" i="47"/>
  <c r="AL228" i="47"/>
  <c r="AA228" i="47"/>
  <c r="Z228" i="47"/>
  <c r="Y228" i="47"/>
  <c r="R228" i="47"/>
  <c r="Q228" i="47"/>
  <c r="P228" i="47"/>
  <c r="O228" i="47"/>
  <c r="AZ227" i="47"/>
  <c r="AX227" i="47"/>
  <c r="AW227" i="47"/>
  <c r="AY227" i="47" s="1"/>
  <c r="AV227" i="47"/>
  <c r="AV218" i="47" s="1"/>
  <c r="AU227" i="47"/>
  <c r="AT227" i="47"/>
  <c r="BC227" i="47" s="1"/>
  <c r="BD227" i="47" s="1"/>
  <c r="AS227" i="47"/>
  <c r="AP227" i="47"/>
  <c r="AO227" i="47"/>
  <c r="AN227" i="47"/>
  <c r="AM227" i="47"/>
  <c r="AK227" i="47"/>
  <c r="AJ227" i="47"/>
  <c r="AI227" i="47"/>
  <c r="AI218" i="47" s="1"/>
  <c r="AH227" i="47"/>
  <c r="BA227" i="47" s="1"/>
  <c r="BB227" i="47" s="1"/>
  <c r="AG227" i="47"/>
  <c r="AQ227" i="47" s="1"/>
  <c r="AA227" i="47"/>
  <c r="R227" i="47"/>
  <c r="Q227" i="47"/>
  <c r="P227" i="47"/>
  <c r="O227" i="47"/>
  <c r="BD226" i="47"/>
  <c r="BC226" i="47"/>
  <c r="BA226" i="47"/>
  <c r="BB226" i="47" s="1"/>
  <c r="AY226" i="47"/>
  <c r="AR226" i="47"/>
  <c r="AQ226" i="47"/>
  <c r="AL226" i="47"/>
  <c r="AE226" i="47"/>
  <c r="Z226" i="47"/>
  <c r="AA226" i="47" s="1"/>
  <c r="Y226" i="47"/>
  <c r="R226" i="47"/>
  <c r="Q226" i="47"/>
  <c r="P226" i="47"/>
  <c r="O226" i="47"/>
  <c r="BC225" i="47"/>
  <c r="BD225" i="47" s="1"/>
  <c r="BA225" i="47"/>
  <c r="BB225" i="47" s="1"/>
  <c r="AY225" i="47"/>
  <c r="AR225" i="47"/>
  <c r="AQ225" i="47"/>
  <c r="AL225" i="47"/>
  <c r="Z225" i="47"/>
  <c r="Y225" i="47"/>
  <c r="R225" i="47"/>
  <c r="Q225" i="47"/>
  <c r="P225" i="47"/>
  <c r="O225" i="47"/>
  <c r="BD224" i="47"/>
  <c r="BC224" i="47"/>
  <c r="BB224" i="47"/>
  <c r="BA224" i="47"/>
  <c r="AY224" i="47"/>
  <c r="AR224" i="47"/>
  <c r="AQ224" i="47"/>
  <c r="AL224" i="47"/>
  <c r="AE224" i="47"/>
  <c r="Z224" i="47"/>
  <c r="AA224" i="47" s="1"/>
  <c r="Y224" i="47"/>
  <c r="R224" i="47"/>
  <c r="Q224" i="47"/>
  <c r="P224" i="47"/>
  <c r="O224" i="47"/>
  <c r="BC223" i="47"/>
  <c r="BD223" i="47" s="1"/>
  <c r="BB223" i="47"/>
  <c r="BA223" i="47"/>
  <c r="AY223" i="47"/>
  <c r="AR223" i="47"/>
  <c r="AQ223" i="47"/>
  <c r="AL223" i="47"/>
  <c r="AE223" i="47"/>
  <c r="Z223" i="47"/>
  <c r="AA223" i="47" s="1"/>
  <c r="Y223" i="47"/>
  <c r="R223" i="47"/>
  <c r="Q223" i="47"/>
  <c r="P223" i="47"/>
  <c r="O223" i="47"/>
  <c r="BD222" i="47"/>
  <c r="BC222" i="47"/>
  <c r="BB222" i="47"/>
  <c r="BA222" i="47"/>
  <c r="AY222" i="47"/>
  <c r="AR222" i="47"/>
  <c r="AQ222" i="47"/>
  <c r="AL222" i="47"/>
  <c r="AE222" i="47"/>
  <c r="Z222" i="47"/>
  <c r="Y222" i="47"/>
  <c r="R222" i="47"/>
  <c r="Q222" i="47"/>
  <c r="P222" i="47"/>
  <c r="O222" i="47"/>
  <c r="BD221" i="47"/>
  <c r="BC221" i="47"/>
  <c r="BB221" i="47"/>
  <c r="BA221" i="47"/>
  <c r="AR221" i="47"/>
  <c r="AQ221" i="47"/>
  <c r="AL221" i="47"/>
  <c r="AE221" i="47"/>
  <c r="Z221" i="47"/>
  <c r="Y221" i="47"/>
  <c r="AA221" i="47" s="1"/>
  <c r="R221" i="47"/>
  <c r="Q221" i="47"/>
  <c r="P221" i="47"/>
  <c r="O221" i="47"/>
  <c r="BC220" i="47"/>
  <c r="BD220" i="47" s="1"/>
  <c r="BB220" i="47"/>
  <c r="BA220" i="47"/>
  <c r="AR220" i="47"/>
  <c r="AQ220" i="47"/>
  <c r="AL220" i="47"/>
  <c r="AE220" i="47"/>
  <c r="Z220" i="47"/>
  <c r="AA220" i="47" s="1"/>
  <c r="Y220" i="47"/>
  <c r="R220" i="47"/>
  <c r="R219" i="47" s="1"/>
  <c r="R218" i="47" s="1"/>
  <c r="Q220" i="47"/>
  <c r="Q219" i="47" s="1"/>
  <c r="Q218" i="47" s="1"/>
  <c r="P220" i="47"/>
  <c r="P219" i="47" s="1"/>
  <c r="P218" i="47" s="1"/>
  <c r="O220" i="47"/>
  <c r="AZ219" i="47"/>
  <c r="AX219" i="47"/>
  <c r="AX218" i="47" s="1"/>
  <c r="AY220" i="47" s="1"/>
  <c r="AW219" i="47"/>
  <c r="AV219" i="47"/>
  <c r="AU219" i="47"/>
  <c r="AT219" i="47"/>
  <c r="AS219" i="47"/>
  <c r="AR219" i="47"/>
  <c r="AP219" i="47"/>
  <c r="AQ219" i="47" s="1"/>
  <c r="AO219" i="47"/>
  <c r="AN219" i="47"/>
  <c r="AM219" i="47"/>
  <c r="BC219" i="47" s="1"/>
  <c r="BD219" i="47" s="1"/>
  <c r="AL219" i="47"/>
  <c r="AK219" i="47"/>
  <c r="AJ219" i="47"/>
  <c r="AI219" i="47"/>
  <c r="AH219" i="47"/>
  <c r="BA219" i="47" s="1"/>
  <c r="BB219" i="47" s="1"/>
  <c r="AG219" i="47"/>
  <c r="AG218" i="47" s="1"/>
  <c r="AL218" i="47" s="1"/>
  <c r="AZ218" i="47"/>
  <c r="AP218" i="47"/>
  <c r="AQ218" i="47" s="1"/>
  <c r="AO218" i="47"/>
  <c r="AN218" i="47"/>
  <c r="AK218" i="47"/>
  <c r="AJ218" i="47"/>
  <c r="BC217" i="47"/>
  <c r="BD217" i="47" s="1"/>
  <c r="BA217" i="47"/>
  <c r="BB217" i="47" s="1"/>
  <c r="AY217" i="47"/>
  <c r="AR217" i="47"/>
  <c r="AQ217" i="47"/>
  <c r="AL217" i="47"/>
  <c r="AA217" i="47"/>
  <c r="Z217" i="47"/>
  <c r="Y217" i="47"/>
  <c r="R217" i="47"/>
  <c r="Q217" i="47"/>
  <c r="P217" i="47"/>
  <c r="O217" i="47"/>
  <c r="BD216" i="47"/>
  <c r="BC216" i="47"/>
  <c r="BA216" i="47"/>
  <c r="BB216" i="47" s="1"/>
  <c r="AY216" i="47"/>
  <c r="AR216" i="47"/>
  <c r="AQ216" i="47"/>
  <c r="AL216" i="47"/>
  <c r="Z216" i="47"/>
  <c r="AA216" i="47" s="1"/>
  <c r="Y216" i="47"/>
  <c r="R216" i="47"/>
  <c r="Q216" i="47"/>
  <c r="P216" i="47"/>
  <c r="O216" i="47"/>
  <c r="BC215" i="47"/>
  <c r="BD215" i="47" s="1"/>
  <c r="BB215" i="47"/>
  <c r="BA215" i="47"/>
  <c r="AY215" i="47"/>
  <c r="AR215" i="47"/>
  <c r="AQ215" i="47"/>
  <c r="AL215" i="47"/>
  <c r="Z215" i="47"/>
  <c r="Y215" i="47"/>
  <c r="AA215" i="47" s="1"/>
  <c r="R215" i="47"/>
  <c r="Q215" i="47"/>
  <c r="P215" i="47"/>
  <c r="O215" i="47"/>
  <c r="BD214" i="47"/>
  <c r="BC214" i="47"/>
  <c r="BA214" i="47"/>
  <c r="BB214" i="47" s="1"/>
  <c r="AR214" i="47"/>
  <c r="AR213" i="47" s="1"/>
  <c r="AR212" i="47" s="1"/>
  <c r="AQ214" i="47"/>
  <c r="AL214" i="47"/>
  <c r="Z214" i="47"/>
  <c r="AA214" i="47" s="1"/>
  <c r="Y214" i="47"/>
  <c r="R214" i="47"/>
  <c r="R213" i="47" s="1"/>
  <c r="R212" i="47" s="1"/>
  <c r="Q214" i="47"/>
  <c r="P214" i="47"/>
  <c r="O214" i="47"/>
  <c r="AZ213" i="47"/>
  <c r="AZ212" i="47" s="1"/>
  <c r="AX213" i="47"/>
  <c r="AW213" i="47"/>
  <c r="AV213" i="47"/>
  <c r="AU213" i="47"/>
  <c r="AT213" i="47"/>
  <c r="AS213" i="47"/>
  <c r="AS212" i="47" s="1"/>
  <c r="AP213" i="47"/>
  <c r="AQ213" i="47" s="1"/>
  <c r="AO213" i="47"/>
  <c r="AN213" i="47"/>
  <c r="AN212" i="47" s="1"/>
  <c r="AM213" i="47"/>
  <c r="AM212" i="47" s="1"/>
  <c r="AK213" i="47"/>
  <c r="AJ213" i="47"/>
  <c r="AJ212" i="47" s="1"/>
  <c r="AI213" i="47"/>
  <c r="AI212" i="47" s="1"/>
  <c r="AH213" i="47"/>
  <c r="AH212" i="47" s="1"/>
  <c r="AG213" i="47"/>
  <c r="Q213" i="47"/>
  <c r="P213" i="47"/>
  <c r="O213" i="47"/>
  <c r="AX212" i="47"/>
  <c r="AW212" i="47"/>
  <c r="AV212" i="47"/>
  <c r="AU212" i="47"/>
  <c r="AQ212" i="47"/>
  <c r="AP212" i="47"/>
  <c r="AO212" i="47"/>
  <c r="AG212" i="47"/>
  <c r="Q212" i="47"/>
  <c r="P212" i="47"/>
  <c r="O212" i="47"/>
  <c r="BC210" i="47"/>
  <c r="BD210" i="47" s="1"/>
  <c r="BA210" i="47"/>
  <c r="BB210" i="47" s="1"/>
  <c r="AY210" i="47"/>
  <c r="AR210" i="47"/>
  <c r="AR209" i="47" s="1"/>
  <c r="AR208" i="47" s="1"/>
  <c r="AQ210" i="47"/>
  <c r="AL210" i="47"/>
  <c r="Z210" i="47"/>
  <c r="Y210" i="47"/>
  <c r="AA210" i="47" s="1"/>
  <c r="AA209" i="47" s="1"/>
  <c r="AA208" i="47" s="1"/>
  <c r="R210" i="47"/>
  <c r="Q210" i="47"/>
  <c r="Q209" i="47" s="1"/>
  <c r="Q208" i="47" s="1"/>
  <c r="P210" i="47"/>
  <c r="P209" i="47" s="1"/>
  <c r="P208" i="47" s="1"/>
  <c r="O210" i="47"/>
  <c r="O209" i="47" s="1"/>
  <c r="O208" i="47" s="1"/>
  <c r="AZ209" i="47"/>
  <c r="AZ208" i="47" s="1"/>
  <c r="AY209" i="47"/>
  <c r="AX209" i="47"/>
  <c r="AW209" i="47"/>
  <c r="AV209" i="47"/>
  <c r="AU209" i="47"/>
  <c r="AT209" i="47"/>
  <c r="AT208" i="47" s="1"/>
  <c r="AS209" i="47"/>
  <c r="AS208" i="47" s="1"/>
  <c r="AQ209" i="47"/>
  <c r="AP209" i="47"/>
  <c r="AP208" i="47" s="1"/>
  <c r="AO209" i="47"/>
  <c r="AO208" i="47" s="1"/>
  <c r="AN209" i="47"/>
  <c r="AM209" i="47"/>
  <c r="AM208" i="47" s="1"/>
  <c r="AL209" i="47"/>
  <c r="AK209" i="47"/>
  <c r="AJ209" i="47"/>
  <c r="AJ208" i="47" s="1"/>
  <c r="AI209" i="47"/>
  <c r="AI208" i="47" s="1"/>
  <c r="AH209" i="47"/>
  <c r="AH208" i="47" s="1"/>
  <c r="BA208" i="47" s="1"/>
  <c r="BB208" i="47" s="1"/>
  <c r="AG209" i="47"/>
  <c r="R209" i="47"/>
  <c r="AX208" i="47"/>
  <c r="AW208" i="47"/>
  <c r="AY208" i="47" s="1"/>
  <c r="AV208" i="47"/>
  <c r="AU208" i="47"/>
  <c r="AN208" i="47"/>
  <c r="AK208" i="47"/>
  <c r="AL208" i="47" s="1"/>
  <c r="AG208" i="47"/>
  <c r="R208" i="47"/>
  <c r="BC207" i="47"/>
  <c r="BD207" i="47" s="1"/>
  <c r="BA207" i="47"/>
  <c r="BB207" i="47" s="1"/>
  <c r="AY207" i="47"/>
  <c r="AR207" i="47"/>
  <c r="AQ207" i="47"/>
  <c r="AL207" i="47"/>
  <c r="Z207" i="47"/>
  <c r="Y207" i="47"/>
  <c r="R207" i="47"/>
  <c r="Q207" i="47"/>
  <c r="P207" i="47"/>
  <c r="O207" i="47"/>
  <c r="BD206" i="47"/>
  <c r="BC206" i="47"/>
  <c r="BB206" i="47"/>
  <c r="BA206" i="47"/>
  <c r="AY206" i="47"/>
  <c r="AR206" i="47"/>
  <c r="AQ206" i="47"/>
  <c r="AL206" i="47"/>
  <c r="Z206" i="47"/>
  <c r="Y206" i="47"/>
  <c r="R206" i="47"/>
  <c r="R203" i="47" s="1"/>
  <c r="R202" i="47" s="1"/>
  <c r="Q206" i="47"/>
  <c r="P206" i="47"/>
  <c r="O206" i="47"/>
  <c r="BC205" i="47"/>
  <c r="BD205" i="47" s="1"/>
  <c r="BA205" i="47"/>
  <c r="BB205" i="47" s="1"/>
  <c r="AR205" i="47"/>
  <c r="AQ205" i="47"/>
  <c r="AL205" i="47"/>
  <c r="Z205" i="47"/>
  <c r="Y205" i="47"/>
  <c r="R205" i="47"/>
  <c r="Q205" i="47"/>
  <c r="P205" i="47"/>
  <c r="O205" i="47"/>
  <c r="BC204" i="47"/>
  <c r="BD204" i="47" s="1"/>
  <c r="BB204" i="47"/>
  <c r="BA204" i="47"/>
  <c r="AR204" i="47"/>
  <c r="AQ204" i="47"/>
  <c r="AL204" i="47"/>
  <c r="Z204" i="47"/>
  <c r="AA204" i="47" s="1"/>
  <c r="Y204" i="47"/>
  <c r="R204" i="47"/>
  <c r="Q204" i="47"/>
  <c r="P204" i="47"/>
  <c r="O204" i="47"/>
  <c r="AZ203" i="47"/>
  <c r="AZ202" i="47" s="1"/>
  <c r="AX203" i="47"/>
  <c r="AY205" i="47" s="1"/>
  <c r="AW203" i="47"/>
  <c r="AV203" i="47"/>
  <c r="AV202" i="47" s="1"/>
  <c r="AU203" i="47"/>
  <c r="AU202" i="47" s="1"/>
  <c r="AT203" i="47"/>
  <c r="AS203" i="47"/>
  <c r="AP203" i="47"/>
  <c r="AO203" i="47"/>
  <c r="AN203" i="47"/>
  <c r="AM203" i="47"/>
  <c r="AK203" i="47"/>
  <c r="AJ203" i="47"/>
  <c r="AJ202" i="47" s="1"/>
  <c r="AI203" i="47"/>
  <c r="AI202" i="47" s="1"/>
  <c r="AH203" i="47"/>
  <c r="AG203" i="47"/>
  <c r="AG202" i="47" s="1"/>
  <c r="Q203" i="47"/>
  <c r="Q202" i="47" s="1"/>
  <c r="P203" i="47"/>
  <c r="P202" i="47" s="1"/>
  <c r="AX202" i="47"/>
  <c r="AY204" i="47" s="1"/>
  <c r="AT202" i="47"/>
  <c r="AS202" i="47"/>
  <c r="AP202" i="47"/>
  <c r="AQ202" i="47" s="1"/>
  <c r="AO202" i="47"/>
  <c r="AN202" i="47"/>
  <c r="AM202" i="47"/>
  <c r="AK202" i="47"/>
  <c r="AL202" i="47" s="1"/>
  <c r="AH202" i="47"/>
  <c r="BD201" i="47"/>
  <c r="BC201" i="47"/>
  <c r="BA201" i="47"/>
  <c r="BB201" i="47" s="1"/>
  <c r="AY201" i="47"/>
  <c r="AR201" i="47"/>
  <c r="AR200" i="47" s="1"/>
  <c r="AQ201" i="47"/>
  <c r="Z201" i="47"/>
  <c r="AA201" i="47" s="1"/>
  <c r="AA200" i="47" s="1"/>
  <c r="Y201" i="47"/>
  <c r="R201" i="47"/>
  <c r="Q201" i="47"/>
  <c r="P201" i="47"/>
  <c r="O201" i="47"/>
  <c r="O200" i="47" s="1"/>
  <c r="BA200" i="47"/>
  <c r="BB200" i="47" s="1"/>
  <c r="AZ200" i="47"/>
  <c r="AX200" i="47"/>
  <c r="AW200" i="47"/>
  <c r="AW190" i="47" s="1"/>
  <c r="AY190" i="47" s="1"/>
  <c r="AV200" i="47"/>
  <c r="AU200" i="47"/>
  <c r="AT200" i="47"/>
  <c r="AS200" i="47"/>
  <c r="AO200" i="47"/>
  <c r="AN200" i="47"/>
  <c r="AM200" i="47"/>
  <c r="AK200" i="47"/>
  <c r="AJ200" i="47"/>
  <c r="AI200" i="47"/>
  <c r="AH200" i="47"/>
  <c r="AG200" i="47"/>
  <c r="AQ200" i="47" s="1"/>
  <c r="R200" i="47"/>
  <c r="Q200" i="47"/>
  <c r="P200" i="47"/>
  <c r="BD199" i="47"/>
  <c r="BC199" i="47"/>
  <c r="BB199" i="47"/>
  <c r="BA199" i="47"/>
  <c r="AY199" i="47"/>
  <c r="AR199" i="47"/>
  <c r="AQ199" i="47"/>
  <c r="AA199" i="47"/>
  <c r="Z199" i="47"/>
  <c r="Y199" i="47"/>
  <c r="R199" i="47"/>
  <c r="Q199" i="47"/>
  <c r="P199" i="47"/>
  <c r="O199" i="47"/>
  <c r="BC198" i="47"/>
  <c r="BD198" i="47" s="1"/>
  <c r="BB198" i="47"/>
  <c r="BA198" i="47"/>
  <c r="AY198" i="47"/>
  <c r="AR198" i="47"/>
  <c r="AQ198" i="47"/>
  <c r="AL198" i="47"/>
  <c r="Z198" i="47"/>
  <c r="AA198" i="47" s="1"/>
  <c r="Y198" i="47"/>
  <c r="R198" i="47"/>
  <c r="Q198" i="47"/>
  <c r="P198" i="47"/>
  <c r="O198" i="47"/>
  <c r="BD197" i="47"/>
  <c r="BC197" i="47"/>
  <c r="BA197" i="47"/>
  <c r="BB197" i="47" s="1"/>
  <c r="AY197" i="47"/>
  <c r="AR197" i="47"/>
  <c r="AQ197" i="47"/>
  <c r="AL197" i="47"/>
  <c r="AA197" i="47"/>
  <c r="Z197" i="47"/>
  <c r="Y197" i="47"/>
  <c r="R197" i="47"/>
  <c r="Q197" i="47"/>
  <c r="P197" i="47"/>
  <c r="O197" i="47"/>
  <c r="BC196" i="47"/>
  <c r="BD196" i="47" s="1"/>
  <c r="BA196" i="47"/>
  <c r="BB196" i="47" s="1"/>
  <c r="AY196" i="47"/>
  <c r="AR196" i="47"/>
  <c r="AQ196" i="47"/>
  <c r="Z196" i="47"/>
  <c r="Y196" i="47"/>
  <c r="R196" i="47"/>
  <c r="Q196" i="47"/>
  <c r="P196" i="47"/>
  <c r="O196" i="47"/>
  <c r="BD195" i="47"/>
  <c r="BC195" i="47"/>
  <c r="BB195" i="47"/>
  <c r="BA195" i="47"/>
  <c r="AY195" i="47"/>
  <c r="AR195" i="47"/>
  <c r="AQ195" i="47"/>
  <c r="Z195" i="47"/>
  <c r="AA195" i="47" s="1"/>
  <c r="Y195" i="47"/>
  <c r="R195" i="47"/>
  <c r="Q195" i="47"/>
  <c r="P195" i="47"/>
  <c r="O195" i="47"/>
  <c r="BC194" i="47"/>
  <c r="BD194" i="47" s="1"/>
  <c r="BA194" i="47"/>
  <c r="BB194" i="47" s="1"/>
  <c r="AY194" i="47"/>
  <c r="AR194" i="47"/>
  <c r="AQ194" i="47"/>
  <c r="AL194" i="47"/>
  <c r="Z194" i="47"/>
  <c r="Y194" i="47"/>
  <c r="AA194" i="47" s="1"/>
  <c r="R194" i="47"/>
  <c r="Q194" i="47"/>
  <c r="P194" i="47"/>
  <c r="O194" i="47"/>
  <c r="BC193" i="47"/>
  <c r="BD193" i="47" s="1"/>
  <c r="BB193" i="47"/>
  <c r="BA193" i="47"/>
  <c r="AY193" i="47"/>
  <c r="AR193" i="47"/>
  <c r="AQ193" i="47"/>
  <c r="AL193" i="47"/>
  <c r="Z193" i="47"/>
  <c r="AA193" i="47" s="1"/>
  <c r="Y193" i="47"/>
  <c r="R193" i="47"/>
  <c r="Q193" i="47"/>
  <c r="P193" i="47"/>
  <c r="O193" i="47"/>
  <c r="BC192" i="47"/>
  <c r="BD192" i="47" s="1"/>
  <c r="BA192" i="47"/>
  <c r="BB192" i="47" s="1"/>
  <c r="AT192" i="47"/>
  <c r="AT191" i="47" s="1"/>
  <c r="AT190" i="47" s="1"/>
  <c r="AS192" i="47"/>
  <c r="AS191" i="47" s="1"/>
  <c r="AS190" i="47" s="1"/>
  <c r="AR192" i="47"/>
  <c r="AR191" i="47" s="1"/>
  <c r="AR190" i="47" s="1"/>
  <c r="AQ192" i="47"/>
  <c r="AL192" i="47"/>
  <c r="AH192" i="47"/>
  <c r="AH191" i="47" s="1"/>
  <c r="Z192" i="47"/>
  <c r="AA192" i="47" s="1"/>
  <c r="Y192" i="47"/>
  <c r="R192" i="47"/>
  <c r="Q192" i="47"/>
  <c r="Q191" i="47" s="1"/>
  <c r="Q190" i="47" s="1"/>
  <c r="P192" i="47"/>
  <c r="P191" i="47" s="1"/>
  <c r="P190" i="47" s="1"/>
  <c r="O192" i="47"/>
  <c r="O191" i="47" s="1"/>
  <c r="O190" i="47" s="1"/>
  <c r="AZ191" i="47"/>
  <c r="AZ190" i="47" s="1"/>
  <c r="AY191" i="47"/>
  <c r="AX191" i="47"/>
  <c r="AW191" i="47"/>
  <c r="AV191" i="47"/>
  <c r="AU191" i="47"/>
  <c r="AU190" i="47" s="1"/>
  <c r="AQ191" i="47"/>
  <c r="AP191" i="47"/>
  <c r="AP190" i="47" s="1"/>
  <c r="AO191" i="47"/>
  <c r="AO190" i="47" s="1"/>
  <c r="AN191" i="47"/>
  <c r="AN190" i="47" s="1"/>
  <c r="AM191" i="47"/>
  <c r="AM190" i="47" s="1"/>
  <c r="AK191" i="47"/>
  <c r="AL191" i="47" s="1"/>
  <c r="AJ191" i="47"/>
  <c r="AI191" i="47"/>
  <c r="AG191" i="47"/>
  <c r="AK190" i="47"/>
  <c r="AJ190" i="47"/>
  <c r="AI190" i="47"/>
  <c r="AH190" i="47"/>
  <c r="BA190" i="47" s="1"/>
  <c r="BB190" i="47" s="1"/>
  <c r="BD189" i="47"/>
  <c r="BC189" i="47"/>
  <c r="BB189" i="47"/>
  <c r="BA189" i="47"/>
  <c r="AY189" i="47"/>
  <c r="AR189" i="47"/>
  <c r="AQ189" i="47"/>
  <c r="AL189" i="47"/>
  <c r="Z189" i="47"/>
  <c r="AA189" i="47" s="1"/>
  <c r="Y189" i="47"/>
  <c r="R189" i="47"/>
  <c r="Q189" i="47"/>
  <c r="P189" i="47"/>
  <c r="O189" i="47"/>
  <c r="BC188" i="47"/>
  <c r="BD188" i="47" s="1"/>
  <c r="BA188" i="47"/>
  <c r="BB188" i="47" s="1"/>
  <c r="AY188" i="47"/>
  <c r="AR188" i="47"/>
  <c r="AQ188" i="47"/>
  <c r="AL188" i="47"/>
  <c r="Z188" i="47"/>
  <c r="AA188" i="47" s="1"/>
  <c r="Y188" i="47"/>
  <c r="R188" i="47"/>
  <c r="Q188" i="47"/>
  <c r="P188" i="47"/>
  <c r="O188" i="47"/>
  <c r="BD187" i="47"/>
  <c r="BC187" i="47"/>
  <c r="BB187" i="47"/>
  <c r="BA187" i="47"/>
  <c r="AY187" i="47"/>
  <c r="AR187" i="47"/>
  <c r="AQ187" i="47"/>
  <c r="AL187" i="47"/>
  <c r="AA187" i="47"/>
  <c r="Z187" i="47"/>
  <c r="Y187" i="47"/>
  <c r="R187" i="47"/>
  <c r="Q187" i="47"/>
  <c r="P187" i="47"/>
  <c r="O187" i="47"/>
  <c r="BC186" i="47"/>
  <c r="BD186" i="47" s="1"/>
  <c r="BA186" i="47"/>
  <c r="BB186" i="47" s="1"/>
  <c r="AY186" i="47"/>
  <c r="AR186" i="47"/>
  <c r="AQ186" i="47"/>
  <c r="AL186" i="47"/>
  <c r="Z186" i="47"/>
  <c r="AA186" i="47" s="1"/>
  <c r="Y186" i="47"/>
  <c r="R186" i="47"/>
  <c r="R183" i="47" s="1"/>
  <c r="Q186" i="47"/>
  <c r="Q183" i="47" s="1"/>
  <c r="P186" i="47"/>
  <c r="P183" i="47" s="1"/>
  <c r="O186" i="47"/>
  <c r="BC185" i="47"/>
  <c r="BD185" i="47" s="1"/>
  <c r="BB185" i="47"/>
  <c r="BA185" i="47"/>
  <c r="AR185" i="47"/>
  <c r="AQ185" i="47"/>
  <c r="AL185" i="47"/>
  <c r="AA185" i="47"/>
  <c r="Z185" i="47"/>
  <c r="Y185" i="47"/>
  <c r="R185" i="47"/>
  <c r="Q185" i="47"/>
  <c r="P185" i="47"/>
  <c r="O185" i="47"/>
  <c r="O183" i="47" s="1"/>
  <c r="BD184" i="47"/>
  <c r="BC184" i="47"/>
  <c r="BA184" i="47"/>
  <c r="BB184" i="47" s="1"/>
  <c r="AY184" i="47"/>
  <c r="AR184" i="47"/>
  <c r="AQ184" i="47"/>
  <c r="AL184" i="47"/>
  <c r="AA184" i="47"/>
  <c r="Z184" i="47"/>
  <c r="Y184" i="47"/>
  <c r="R184" i="47"/>
  <c r="Q184" i="47"/>
  <c r="P184" i="47"/>
  <c r="O184" i="47"/>
  <c r="BC183" i="47"/>
  <c r="BD183" i="47" s="1"/>
  <c r="AZ183" i="47"/>
  <c r="AY183" i="47"/>
  <c r="AX183" i="47"/>
  <c r="AY185" i="47" s="1"/>
  <c r="AW183" i="47"/>
  <c r="AV183" i="47"/>
  <c r="AU183" i="47"/>
  <c r="AT183" i="47"/>
  <c r="AS183" i="47"/>
  <c r="AR183" i="47"/>
  <c r="AQ183" i="47"/>
  <c r="AP183" i="47"/>
  <c r="AO183" i="47"/>
  <c r="AN183" i="47"/>
  <c r="AM183" i="47"/>
  <c r="AK183" i="47"/>
  <c r="AL183" i="47" s="1"/>
  <c r="AJ183" i="47"/>
  <c r="AI183" i="47"/>
  <c r="AH183" i="47"/>
  <c r="BA183" i="47" s="1"/>
  <c r="BB183" i="47" s="1"/>
  <c r="AG183" i="47"/>
  <c r="Z183" i="47"/>
  <c r="BD182" i="47"/>
  <c r="BC182" i="47"/>
  <c r="BA182" i="47"/>
  <c r="BB182" i="47" s="1"/>
  <c r="AY182" i="47"/>
  <c r="AR182" i="47"/>
  <c r="AQ182" i="47"/>
  <c r="AN182" i="47"/>
  <c r="AL182" i="47"/>
  <c r="AI182" i="47"/>
  <c r="Z182" i="47"/>
  <c r="AA182" i="47" s="1"/>
  <c r="Y182" i="47"/>
  <c r="R182" i="47"/>
  <c r="Q182" i="47"/>
  <c r="P182" i="47"/>
  <c r="O182" i="47"/>
  <c r="BD181" i="47"/>
  <c r="BC181" i="47"/>
  <c r="AY181" i="47"/>
  <c r="AR181" i="47"/>
  <c r="AQ181" i="47"/>
  <c r="AN181" i="47"/>
  <c r="AL181" i="47"/>
  <c r="AI181" i="47"/>
  <c r="AA181" i="47"/>
  <c r="Z181" i="47"/>
  <c r="Y181" i="47"/>
  <c r="R181" i="47"/>
  <c r="Q181" i="47"/>
  <c r="P181" i="47"/>
  <c r="O181" i="47"/>
  <c r="BD180" i="47"/>
  <c r="BC180" i="47"/>
  <c r="BA180" i="47"/>
  <c r="BB180" i="47" s="1"/>
  <c r="AR180" i="47"/>
  <c r="AQ180" i="47"/>
  <c r="AL180" i="47"/>
  <c r="Z180" i="47"/>
  <c r="Y180" i="47"/>
  <c r="R180" i="47"/>
  <c r="Q180" i="47"/>
  <c r="P180" i="47"/>
  <c r="O180" i="47"/>
  <c r="BC179" i="47"/>
  <c r="BD179" i="47" s="1"/>
  <c r="BB179" i="47"/>
  <c r="BA179" i="47"/>
  <c r="AY179" i="47"/>
  <c r="AR179" i="47"/>
  <c r="AQ179" i="47"/>
  <c r="AL179" i="47"/>
  <c r="Z179" i="47"/>
  <c r="Y179" i="47"/>
  <c r="R179" i="47"/>
  <c r="Q179" i="47"/>
  <c r="Q178" i="47" s="1"/>
  <c r="P179" i="47"/>
  <c r="P178" i="47" s="1"/>
  <c r="O179" i="47"/>
  <c r="AZ178" i="47"/>
  <c r="AX178" i="47"/>
  <c r="AY180" i="47" s="1"/>
  <c r="AW178" i="47"/>
  <c r="AV178" i="47"/>
  <c r="AU178" i="47"/>
  <c r="AT178" i="47"/>
  <c r="AS178" i="47"/>
  <c r="AS167" i="47" s="1"/>
  <c r="AR178" i="47"/>
  <c r="AQ178" i="47"/>
  <c r="AP178" i="47"/>
  <c r="AO178" i="47"/>
  <c r="AN178" i="47"/>
  <c r="AM178" i="47"/>
  <c r="AL178" i="47"/>
  <c r="AK178" i="47"/>
  <c r="AJ178" i="47"/>
  <c r="AH178" i="47"/>
  <c r="AG178" i="47"/>
  <c r="BC177" i="47"/>
  <c r="BD177" i="47" s="1"/>
  <c r="BB177" i="47"/>
  <c r="BA177" i="47"/>
  <c r="AY177" i="47"/>
  <c r="AR177" i="47"/>
  <c r="AR176" i="47" s="1"/>
  <c r="AQ177" i="47"/>
  <c r="AL177" i="47"/>
  <c r="Z177" i="47"/>
  <c r="AA177" i="47" s="1"/>
  <c r="AA176" i="47" s="1"/>
  <c r="Y177" i="47"/>
  <c r="R177" i="47"/>
  <c r="R176" i="47" s="1"/>
  <c r="Q177" i="47"/>
  <c r="P177" i="47"/>
  <c r="P176" i="47" s="1"/>
  <c r="O177" i="47"/>
  <c r="O176" i="47" s="1"/>
  <c r="AZ176" i="47"/>
  <c r="AY176" i="47"/>
  <c r="AX176" i="47"/>
  <c r="AW176" i="47"/>
  <c r="AW167" i="47" s="1"/>
  <c r="AV176" i="47"/>
  <c r="AU176" i="47"/>
  <c r="AT176" i="47"/>
  <c r="AS176" i="47"/>
  <c r="AP176" i="47"/>
  <c r="AQ176" i="47" s="1"/>
  <c r="AO176" i="47"/>
  <c r="AN176" i="47"/>
  <c r="AM176" i="47"/>
  <c r="AK176" i="47"/>
  <c r="AJ176" i="47"/>
  <c r="AJ167" i="47" s="1"/>
  <c r="AI176" i="47"/>
  <c r="AH176" i="47"/>
  <c r="BA176" i="47" s="1"/>
  <c r="BB176" i="47" s="1"/>
  <c r="AG176" i="47"/>
  <c r="AG167" i="47" s="1"/>
  <c r="Q176" i="47"/>
  <c r="BC175" i="47"/>
  <c r="BD175" i="47" s="1"/>
  <c r="BA175" i="47"/>
  <c r="BB175" i="47" s="1"/>
  <c r="AY175" i="47"/>
  <c r="AR175" i="47"/>
  <c r="AQ175" i="47"/>
  <c r="AL175" i="47"/>
  <c r="Z175" i="47"/>
  <c r="Y175" i="47"/>
  <c r="AA175" i="47" s="1"/>
  <c r="R175" i="47"/>
  <c r="Q175" i="47"/>
  <c r="P175" i="47"/>
  <c r="O175" i="47"/>
  <c r="BD174" i="47"/>
  <c r="BC174" i="47"/>
  <c r="BB174" i="47"/>
  <c r="BA174" i="47"/>
  <c r="AY174" i="47"/>
  <c r="AR174" i="47"/>
  <c r="AQ174" i="47"/>
  <c r="AL174" i="47"/>
  <c r="AA174" i="47"/>
  <c r="Z174" i="47"/>
  <c r="Y174" i="47"/>
  <c r="R174" i="47"/>
  <c r="Q174" i="47"/>
  <c r="P174" i="47"/>
  <c r="O174" i="47"/>
  <c r="BC173" i="47"/>
  <c r="BD173" i="47" s="1"/>
  <c r="BA173" i="47"/>
  <c r="BB173" i="47" s="1"/>
  <c r="AY173" i="47"/>
  <c r="AR173" i="47"/>
  <c r="AQ173" i="47"/>
  <c r="AL173" i="47"/>
  <c r="Z173" i="47"/>
  <c r="Y173" i="47"/>
  <c r="AA173" i="47" s="1"/>
  <c r="R173" i="47"/>
  <c r="Q173" i="47"/>
  <c r="P173" i="47"/>
  <c r="O173" i="47"/>
  <c r="BD172" i="47"/>
  <c r="BC172" i="47"/>
  <c r="BB172" i="47"/>
  <c r="BA172" i="47"/>
  <c r="AY172" i="47"/>
  <c r="AR172" i="47"/>
  <c r="AQ172" i="47"/>
  <c r="AL172" i="47"/>
  <c r="Z172" i="47"/>
  <c r="AA172" i="47" s="1"/>
  <c r="Y172" i="47"/>
  <c r="R172" i="47"/>
  <c r="Q172" i="47"/>
  <c r="P172" i="47"/>
  <c r="O172" i="47"/>
  <c r="BC171" i="47"/>
  <c r="BD171" i="47" s="1"/>
  <c r="BA171" i="47"/>
  <c r="BB171" i="47" s="1"/>
  <c r="AY171" i="47"/>
  <c r="AR171" i="47"/>
  <c r="AQ171" i="47"/>
  <c r="AL171" i="47"/>
  <c r="Z171" i="47"/>
  <c r="AA171" i="47" s="1"/>
  <c r="AA168" i="47" s="1"/>
  <c r="Y171" i="47"/>
  <c r="R171" i="47"/>
  <c r="Q171" i="47"/>
  <c r="P171" i="47"/>
  <c r="O171" i="47"/>
  <c r="BC170" i="47"/>
  <c r="BD170" i="47" s="1"/>
  <c r="BB170" i="47"/>
  <c r="BA170" i="47"/>
  <c r="AR170" i="47"/>
  <c r="AQ170" i="47"/>
  <c r="AL170" i="47"/>
  <c r="AA170" i="47"/>
  <c r="Z170" i="47"/>
  <c r="Y170" i="47"/>
  <c r="R170" i="47"/>
  <c r="Q170" i="47"/>
  <c r="P170" i="47"/>
  <c r="O170" i="47"/>
  <c r="BD169" i="47"/>
  <c r="BC169" i="47"/>
  <c r="BA169" i="47"/>
  <c r="BB169" i="47" s="1"/>
  <c r="AR169" i="47"/>
  <c r="AQ169" i="47"/>
  <c r="AL169" i="47"/>
  <c r="Z169" i="47"/>
  <c r="AA169" i="47" s="1"/>
  <c r="Y169" i="47"/>
  <c r="R169" i="47"/>
  <c r="Q169" i="47"/>
  <c r="P169" i="47"/>
  <c r="O169" i="47"/>
  <c r="BC168" i="47"/>
  <c r="BD168" i="47" s="1"/>
  <c r="AZ168" i="47"/>
  <c r="AY168" i="47"/>
  <c r="AX168" i="47"/>
  <c r="AX167" i="47" s="1"/>
  <c r="AY169" i="47" s="1"/>
  <c r="AW168" i="47"/>
  <c r="AV168" i="47"/>
  <c r="AU168" i="47"/>
  <c r="AT168" i="47"/>
  <c r="AS168" i="47"/>
  <c r="AP168" i="47"/>
  <c r="AQ168" i="47" s="1"/>
  <c r="AO168" i="47"/>
  <c r="AN168" i="47"/>
  <c r="AM168" i="47"/>
  <c r="AK168" i="47"/>
  <c r="AL168" i="47" s="1"/>
  <c r="AJ168" i="47"/>
  <c r="AI168" i="47"/>
  <c r="AH168" i="47"/>
  <c r="BA168" i="47" s="1"/>
  <c r="BB168" i="47" s="1"/>
  <c r="AG168" i="47"/>
  <c r="AZ167" i="47"/>
  <c r="AQ167" i="47"/>
  <c r="AP167" i="47"/>
  <c r="AN167" i="47"/>
  <c r="AM167" i="47"/>
  <c r="BC166" i="47"/>
  <c r="BD166" i="47" s="1"/>
  <c r="BB166" i="47"/>
  <c r="BA166" i="47"/>
  <c r="AY166" i="47"/>
  <c r="AR166" i="47"/>
  <c r="AR165" i="47" s="1"/>
  <c r="AR157" i="47" s="1"/>
  <c r="AQ166" i="47"/>
  <c r="AL166" i="47"/>
  <c r="Z166" i="47"/>
  <c r="AA166" i="47" s="1"/>
  <c r="AA165" i="47" s="1"/>
  <c r="Y166" i="47"/>
  <c r="R166" i="47"/>
  <c r="R165" i="47" s="1"/>
  <c r="Q166" i="47"/>
  <c r="Q165" i="47" s="1"/>
  <c r="P166" i="47"/>
  <c r="O166" i="47"/>
  <c r="O165" i="47" s="1"/>
  <c r="AZ165" i="47"/>
  <c r="AX165" i="47"/>
  <c r="AW165" i="47"/>
  <c r="AV165" i="47"/>
  <c r="AU165" i="47"/>
  <c r="AT165" i="47"/>
  <c r="AS165" i="47"/>
  <c r="AO165" i="47"/>
  <c r="AN165" i="47"/>
  <c r="AM165" i="47"/>
  <c r="AK165" i="47"/>
  <c r="AL165" i="47" s="1"/>
  <c r="AJ165" i="47"/>
  <c r="AI165" i="47"/>
  <c r="AH165" i="47"/>
  <c r="BA165" i="47" s="1"/>
  <c r="BB165" i="47" s="1"/>
  <c r="AG165" i="47"/>
  <c r="AQ165" i="47" s="1"/>
  <c r="Z165" i="47"/>
  <c r="P165" i="47"/>
  <c r="BD164" i="47"/>
  <c r="BC164" i="47"/>
  <c r="BA164" i="47"/>
  <c r="BB164" i="47" s="1"/>
  <c r="AY164" i="47"/>
  <c r="AR164" i="47"/>
  <c r="AQ164" i="47"/>
  <c r="AL164" i="47"/>
  <c r="Z164" i="47"/>
  <c r="AA164" i="47" s="1"/>
  <c r="AA163" i="47" s="1"/>
  <c r="Y164" i="47"/>
  <c r="R164" i="47"/>
  <c r="R163" i="47" s="1"/>
  <c r="Q164" i="47"/>
  <c r="P164" i="47"/>
  <c r="O164" i="47"/>
  <c r="AZ163" i="47"/>
  <c r="AX163" i="47"/>
  <c r="AW163" i="47"/>
  <c r="AY163" i="47" s="1"/>
  <c r="AV163" i="47"/>
  <c r="AU163" i="47"/>
  <c r="AT163" i="47"/>
  <c r="AS163" i="47"/>
  <c r="AR163" i="47"/>
  <c r="AP163" i="47"/>
  <c r="AO163" i="47"/>
  <c r="AN163" i="47"/>
  <c r="AM163" i="47"/>
  <c r="AK163" i="47"/>
  <c r="AL163" i="47" s="1"/>
  <c r="AJ163" i="47"/>
  <c r="AI163" i="47"/>
  <c r="AH163" i="47"/>
  <c r="AG163" i="47"/>
  <c r="Q163" i="47"/>
  <c r="P163" i="47"/>
  <c r="O163" i="47"/>
  <c r="BC162" i="47"/>
  <c r="BD162" i="47" s="1"/>
  <c r="BB162" i="47"/>
  <c r="BA162" i="47"/>
  <c r="AY162" i="47"/>
  <c r="AR162" i="47"/>
  <c r="AQ162" i="47"/>
  <c r="AL162" i="47"/>
  <c r="AA162" i="47"/>
  <c r="AA161" i="47" s="1"/>
  <c r="Z162" i="47"/>
  <c r="Y162" i="47"/>
  <c r="R162" i="47"/>
  <c r="Q162" i="47"/>
  <c r="P162" i="47"/>
  <c r="O162" i="47"/>
  <c r="AZ161" i="47"/>
  <c r="AY161" i="47"/>
  <c r="AX161" i="47"/>
  <c r="AW161" i="47"/>
  <c r="AV161" i="47"/>
  <c r="AU161" i="47"/>
  <c r="AT161" i="47"/>
  <c r="BC161" i="47" s="1"/>
  <c r="BD161" i="47" s="1"/>
  <c r="AS161" i="47"/>
  <c r="AR161" i="47"/>
  <c r="AQ161" i="47"/>
  <c r="AP161" i="47"/>
  <c r="AO161" i="47"/>
  <c r="AN161" i="47"/>
  <c r="AM161" i="47"/>
  <c r="AK161" i="47"/>
  <c r="AJ161" i="47"/>
  <c r="AI161" i="47"/>
  <c r="BA161" i="47" s="1"/>
  <c r="BB161" i="47" s="1"/>
  <c r="AH161" i="47"/>
  <c r="AG161" i="47"/>
  <c r="R161" i="47"/>
  <c r="Q161" i="47"/>
  <c r="P161" i="47"/>
  <c r="O161" i="47"/>
  <c r="BC160" i="47"/>
  <c r="BD160" i="47" s="1"/>
  <c r="BB160" i="47"/>
  <c r="BA160" i="47"/>
  <c r="AR160" i="47"/>
  <c r="AQ160" i="47"/>
  <c r="AL160" i="47"/>
  <c r="Z160" i="47"/>
  <c r="Y160" i="47"/>
  <c r="AA160" i="47" s="1"/>
  <c r="AA158" i="47" s="1"/>
  <c r="R160" i="47"/>
  <c r="Q160" i="47"/>
  <c r="P160" i="47"/>
  <c r="O160" i="47"/>
  <c r="O158" i="47" s="1"/>
  <c r="BC159" i="47"/>
  <c r="BD159" i="47" s="1"/>
  <c r="BB159" i="47"/>
  <c r="BA159" i="47"/>
  <c r="AR159" i="47"/>
  <c r="AQ159" i="47"/>
  <c r="AL159" i="47"/>
  <c r="Z159" i="47"/>
  <c r="AA159" i="47" s="1"/>
  <c r="Y159" i="47"/>
  <c r="R159" i="47"/>
  <c r="Q159" i="47"/>
  <c r="P159" i="47"/>
  <c r="O159" i="47"/>
  <c r="BC158" i="47"/>
  <c r="AZ158" i="47"/>
  <c r="AZ157" i="47" s="1"/>
  <c r="AY158" i="47"/>
  <c r="AX158" i="47"/>
  <c r="AY160" i="47" s="1"/>
  <c r="AW158" i="47"/>
  <c r="AV158" i="47"/>
  <c r="AU158" i="47"/>
  <c r="AT158" i="47"/>
  <c r="AS158" i="47"/>
  <c r="AR158" i="47"/>
  <c r="AP158" i="47"/>
  <c r="AO158" i="47"/>
  <c r="AN158" i="47"/>
  <c r="AM158" i="47"/>
  <c r="AM157" i="47" s="1"/>
  <c r="AL158" i="47"/>
  <c r="AK158" i="47"/>
  <c r="AK157" i="47" s="1"/>
  <c r="AJ158" i="47"/>
  <c r="AJ157" i="47" s="1"/>
  <c r="AI158" i="47"/>
  <c r="AH158" i="47"/>
  <c r="AG158" i="47"/>
  <c r="Q158" i="47"/>
  <c r="AW157" i="47"/>
  <c r="AY157" i="47" s="1"/>
  <c r="AV157" i="47"/>
  <c r="AT157" i="47"/>
  <c r="AS157" i="47"/>
  <c r="AO157" i="47"/>
  <c r="AN157" i="47"/>
  <c r="AG157" i="47"/>
  <c r="BD156" i="47"/>
  <c r="BC156" i="47"/>
  <c r="BA156" i="47"/>
  <c r="BB156" i="47" s="1"/>
  <c r="AY156" i="47"/>
  <c r="AR156" i="47"/>
  <c r="AQ156" i="47"/>
  <c r="Z156" i="47"/>
  <c r="AA156" i="47" s="1"/>
  <c r="AA155" i="47" s="1"/>
  <c r="Y156" i="47"/>
  <c r="R156" i="47"/>
  <c r="Q156" i="47"/>
  <c r="Q155" i="47" s="1"/>
  <c r="P156" i="47"/>
  <c r="O156" i="47"/>
  <c r="O155" i="47" s="1"/>
  <c r="AZ155" i="47"/>
  <c r="AX155" i="47"/>
  <c r="AW155" i="47"/>
  <c r="AV155" i="47"/>
  <c r="AU155" i="47"/>
  <c r="AT155" i="47"/>
  <c r="AS155" i="47"/>
  <c r="AR155" i="47"/>
  <c r="AO155" i="47"/>
  <c r="AN155" i="47"/>
  <c r="AN150" i="47" s="1"/>
  <c r="AM155" i="47"/>
  <c r="BC155" i="47" s="1"/>
  <c r="BD155" i="47" s="1"/>
  <c r="AK155" i="47"/>
  <c r="AK150" i="47" s="1"/>
  <c r="AJ155" i="47"/>
  <c r="AI155" i="47"/>
  <c r="AH155" i="47"/>
  <c r="AG155" i="47"/>
  <c r="AQ155" i="47" s="1"/>
  <c r="Z155" i="47"/>
  <c r="R155" i="47"/>
  <c r="P155" i="47"/>
  <c r="BD154" i="47"/>
  <c r="BC154" i="47"/>
  <c r="BA154" i="47"/>
  <c r="BB154" i="47" s="1"/>
  <c r="AY154" i="47"/>
  <c r="AR154" i="47"/>
  <c r="AQ154" i="47"/>
  <c r="AL154" i="47"/>
  <c r="AA154" i="47"/>
  <c r="AA153" i="47" s="1"/>
  <c r="Z154" i="47"/>
  <c r="Y154" i="47"/>
  <c r="R154" i="47"/>
  <c r="Q154" i="47"/>
  <c r="P154" i="47"/>
  <c r="O154" i="47"/>
  <c r="AZ153" i="47"/>
  <c r="AY153" i="47"/>
  <c r="AX153" i="47"/>
  <c r="AW153" i="47"/>
  <c r="AV153" i="47"/>
  <c r="AU153" i="47"/>
  <c r="AT153" i="47"/>
  <c r="BC153" i="47" s="1"/>
  <c r="BD153" i="47" s="1"/>
  <c r="AS153" i="47"/>
  <c r="AS150" i="47" s="1"/>
  <c r="AR153" i="47"/>
  <c r="AQ153" i="47"/>
  <c r="AP153" i="47"/>
  <c r="AO153" i="47"/>
  <c r="AN153" i="47"/>
  <c r="AM153" i="47"/>
  <c r="AK153" i="47"/>
  <c r="AJ153" i="47"/>
  <c r="AI153" i="47"/>
  <c r="AI150" i="47" s="1"/>
  <c r="AH153" i="47"/>
  <c r="AG153" i="47"/>
  <c r="Z153" i="47"/>
  <c r="R153" i="47"/>
  <c r="Q153" i="47"/>
  <c r="P153" i="47"/>
  <c r="O153" i="47"/>
  <c r="BC152" i="47"/>
  <c r="BD152" i="47" s="1"/>
  <c r="BB152" i="47"/>
  <c r="BA152" i="47"/>
  <c r="AR152" i="47"/>
  <c r="AQ152" i="47"/>
  <c r="AL152" i="47"/>
  <c r="Z152" i="47"/>
  <c r="AA152" i="47" s="1"/>
  <c r="AA151" i="47" s="1"/>
  <c r="Y152" i="47"/>
  <c r="R152" i="47"/>
  <c r="R151" i="47" s="1"/>
  <c r="Q152" i="47"/>
  <c r="Q151" i="47" s="1"/>
  <c r="P152" i="47"/>
  <c r="P151" i="47" s="1"/>
  <c r="O152" i="47"/>
  <c r="O151" i="47" s="1"/>
  <c r="BC151" i="47"/>
  <c r="BD151" i="47" s="1"/>
  <c r="BB151" i="47"/>
  <c r="AZ151" i="47"/>
  <c r="AX151" i="47"/>
  <c r="AW151" i="47"/>
  <c r="AV151" i="47"/>
  <c r="AU151" i="47"/>
  <c r="AT151" i="47"/>
  <c r="AS151" i="47"/>
  <c r="AR151" i="47"/>
  <c r="AP151" i="47"/>
  <c r="AQ151" i="47" s="1"/>
  <c r="AO151" i="47"/>
  <c r="AO150" i="47" s="1"/>
  <c r="AN151" i="47"/>
  <c r="AM151" i="47"/>
  <c r="AL151" i="47"/>
  <c r="AK151" i="47"/>
  <c r="BA151" i="47" s="1"/>
  <c r="AJ151" i="47"/>
  <c r="AI151" i="47"/>
  <c r="AH151" i="47"/>
  <c r="AG151" i="47"/>
  <c r="Z151" i="47"/>
  <c r="AZ150" i="47"/>
  <c r="AP150" i="47"/>
  <c r="AJ150" i="47"/>
  <c r="Z150" i="47"/>
  <c r="BC149" i="47"/>
  <c r="BD149" i="47" s="1"/>
  <c r="BA149" i="47"/>
  <c r="BB149" i="47" s="1"/>
  <c r="AR149" i="47"/>
  <c r="AR148" i="47" s="1"/>
  <c r="AR147" i="47" s="1"/>
  <c r="AQ149" i="47"/>
  <c r="AL149" i="47"/>
  <c r="AA149" i="47"/>
  <c r="Z149" i="47"/>
  <c r="Y149" i="47"/>
  <c r="R149" i="47"/>
  <c r="Q149" i="47"/>
  <c r="P149" i="47"/>
  <c r="P148" i="47" s="1"/>
  <c r="O149" i="47"/>
  <c r="O148" i="47" s="1"/>
  <c r="AZ148" i="47"/>
  <c r="AZ147" i="47" s="1"/>
  <c r="AX148" i="47"/>
  <c r="AW148" i="47"/>
  <c r="AW147" i="47" s="1"/>
  <c r="AV148" i="47"/>
  <c r="AV147" i="47" s="1"/>
  <c r="AU148" i="47"/>
  <c r="AU147" i="47" s="1"/>
  <c r="AT148" i="47"/>
  <c r="AT147" i="47" s="1"/>
  <c r="AS148" i="47"/>
  <c r="AP148" i="47"/>
  <c r="AP147" i="47" s="1"/>
  <c r="AO148" i="47"/>
  <c r="AO147" i="47" s="1"/>
  <c r="AN148" i="47"/>
  <c r="AN147" i="47" s="1"/>
  <c r="AM148" i="47"/>
  <c r="AM147" i="47" s="1"/>
  <c r="AK148" i="47"/>
  <c r="AJ148" i="47"/>
  <c r="AJ147" i="47" s="1"/>
  <c r="AJ146" i="47" s="1"/>
  <c r="AI148" i="47"/>
  <c r="AI147" i="47" s="1"/>
  <c r="AH148" i="47"/>
  <c r="BA148" i="47" s="1"/>
  <c r="BB148" i="47" s="1"/>
  <c r="AG148" i="47"/>
  <c r="AA148" i="47"/>
  <c r="R148" i="47"/>
  <c r="Q148" i="47"/>
  <c r="AS147" i="47"/>
  <c r="AH147" i="47"/>
  <c r="AG147" i="47"/>
  <c r="AA147" i="47"/>
  <c r="R147" i="47"/>
  <c r="Q147" i="47"/>
  <c r="P147" i="47"/>
  <c r="O147" i="47"/>
  <c r="BD145" i="47"/>
  <c r="BC145" i="47"/>
  <c r="BB145" i="47"/>
  <c r="BA145" i="47"/>
  <c r="AY145" i="47"/>
  <c r="AR145" i="47"/>
  <c r="AQ145" i="47"/>
  <c r="AL145" i="47"/>
  <c r="Z145" i="47"/>
  <c r="Y145" i="47"/>
  <c r="AA145" i="47" s="1"/>
  <c r="AA144" i="47" s="1"/>
  <c r="R145" i="47"/>
  <c r="Q145" i="47"/>
  <c r="Q144" i="47" s="1"/>
  <c r="P145" i="47"/>
  <c r="O145" i="47"/>
  <c r="AZ144" i="47"/>
  <c r="AY144" i="47"/>
  <c r="AX144" i="47"/>
  <c r="AW144" i="47"/>
  <c r="AV144" i="47"/>
  <c r="AU144" i="47"/>
  <c r="AU140" i="47" s="1"/>
  <c r="AT144" i="47"/>
  <c r="AS144" i="47"/>
  <c r="AS140" i="47" s="1"/>
  <c r="AR144" i="47"/>
  <c r="AR140" i="47" s="1"/>
  <c r="AQ144" i="47"/>
  <c r="AP144" i="47"/>
  <c r="AO144" i="47"/>
  <c r="AN144" i="47"/>
  <c r="AM144" i="47"/>
  <c r="AL144" i="47"/>
  <c r="AK144" i="47"/>
  <c r="AJ144" i="47"/>
  <c r="BA144" i="47" s="1"/>
  <c r="BB144" i="47" s="1"/>
  <c r="AI144" i="47"/>
  <c r="AH144" i="47"/>
  <c r="AG144" i="47"/>
  <c r="R144" i="47"/>
  <c r="R140" i="47" s="1"/>
  <c r="P144" i="47"/>
  <c r="O144" i="47"/>
  <c r="BC143" i="47"/>
  <c r="BD143" i="47" s="1"/>
  <c r="BB143" i="47"/>
  <c r="BA143" i="47"/>
  <c r="AR143" i="47"/>
  <c r="AQ143" i="47"/>
  <c r="AL143" i="47"/>
  <c r="AA143" i="47"/>
  <c r="Z143" i="47"/>
  <c r="Y143" i="47"/>
  <c r="R143" i="47"/>
  <c r="Q143" i="47"/>
  <c r="P143" i="47"/>
  <c r="O143" i="47"/>
  <c r="BC142" i="47"/>
  <c r="BD142" i="47" s="1"/>
  <c r="BA142" i="47"/>
  <c r="BB142" i="47" s="1"/>
  <c r="AR142" i="47"/>
  <c r="AR141" i="47" s="1"/>
  <c r="AQ142" i="47"/>
  <c r="AL142" i="47"/>
  <c r="AA142" i="47"/>
  <c r="Z142" i="47"/>
  <c r="Y142" i="47"/>
  <c r="R142" i="47"/>
  <c r="Q142" i="47"/>
  <c r="P142" i="47"/>
  <c r="P141" i="47" s="1"/>
  <c r="O142" i="47"/>
  <c r="BC141" i="47"/>
  <c r="BD141" i="47" s="1"/>
  <c r="AZ141" i="47"/>
  <c r="AZ140" i="47" s="1"/>
  <c r="AY141" i="47"/>
  <c r="AX141" i="47"/>
  <c r="AX140" i="47" s="1"/>
  <c r="AY142" i="47" s="1"/>
  <c r="AW141" i="47"/>
  <c r="AV141" i="47"/>
  <c r="AU141" i="47"/>
  <c r="AT141" i="47"/>
  <c r="AS141" i="47"/>
  <c r="AP141" i="47"/>
  <c r="AO141" i="47"/>
  <c r="AO140" i="47" s="1"/>
  <c r="AN141" i="47"/>
  <c r="AN140" i="47" s="1"/>
  <c r="AM141" i="47"/>
  <c r="AM140" i="47" s="1"/>
  <c r="AK141" i="47"/>
  <c r="AK140" i="47" s="1"/>
  <c r="AL140" i="47" s="1"/>
  <c r="AJ141" i="47"/>
  <c r="AJ140" i="47" s="1"/>
  <c r="AI141" i="47"/>
  <c r="AI140" i="47" s="1"/>
  <c r="AH141" i="47"/>
  <c r="AH140" i="47" s="1"/>
  <c r="AG141" i="47"/>
  <c r="AG140" i="47" s="1"/>
  <c r="AA141" i="47"/>
  <c r="AA140" i="47" s="1"/>
  <c r="R141" i="47"/>
  <c r="AW140" i="47"/>
  <c r="AY140" i="47" s="1"/>
  <c r="AV140" i="47"/>
  <c r="AT140" i="47"/>
  <c r="BD139" i="47"/>
  <c r="BC139" i="47"/>
  <c r="BA139" i="47"/>
  <c r="BB139" i="47" s="1"/>
  <c r="AY139" i="47"/>
  <c r="AR139" i="47"/>
  <c r="AQ139" i="47"/>
  <c r="AL139" i="47"/>
  <c r="Z139" i="47"/>
  <c r="AA139" i="47" s="1"/>
  <c r="Y139" i="47"/>
  <c r="R139" i="47"/>
  <c r="Q139" i="47"/>
  <c r="P139" i="47"/>
  <c r="O139" i="47"/>
  <c r="BD138" i="47"/>
  <c r="BC138" i="47"/>
  <c r="BB138" i="47"/>
  <c r="BA138" i="47"/>
  <c r="AY138" i="47"/>
  <c r="AR138" i="47"/>
  <c r="AQ138" i="47"/>
  <c r="AL138" i="47"/>
  <c r="Z138" i="47"/>
  <c r="Y138" i="47"/>
  <c r="AA138" i="47" s="1"/>
  <c r="R138" i="47"/>
  <c r="Q138" i="47"/>
  <c r="P138" i="47"/>
  <c r="O138" i="47"/>
  <c r="BD137" i="47"/>
  <c r="BC137" i="47"/>
  <c r="BB137" i="47"/>
  <c r="BA137" i="47"/>
  <c r="AR137" i="47"/>
  <c r="AQ137" i="47"/>
  <c r="AL137" i="47"/>
  <c r="Z137" i="47"/>
  <c r="AA137" i="47" s="1"/>
  <c r="Y137" i="47"/>
  <c r="R137" i="47"/>
  <c r="Q137" i="47"/>
  <c r="P137" i="47"/>
  <c r="O137" i="47"/>
  <c r="BD136" i="47"/>
  <c r="BC136" i="47"/>
  <c r="BB136" i="47"/>
  <c r="BA136" i="47"/>
  <c r="AR136" i="47"/>
  <c r="AQ136" i="47"/>
  <c r="AL136" i="47"/>
  <c r="Z136" i="47"/>
  <c r="Y136" i="47"/>
  <c r="R136" i="47"/>
  <c r="Q136" i="47"/>
  <c r="P136" i="47"/>
  <c r="O136" i="47"/>
  <c r="BA135" i="47"/>
  <c r="BB135" i="47" s="1"/>
  <c r="AZ135" i="47"/>
  <c r="AX135" i="47"/>
  <c r="AY137" i="47" s="1"/>
  <c r="AW135" i="47"/>
  <c r="AW134" i="47" s="1"/>
  <c r="AV135" i="47"/>
  <c r="AV134" i="47" s="1"/>
  <c r="AU135" i="47"/>
  <c r="AU134" i="47" s="1"/>
  <c r="AT135" i="47"/>
  <c r="AS135" i="47"/>
  <c r="AS134" i="47" s="1"/>
  <c r="AR135" i="47"/>
  <c r="AR134" i="47" s="1"/>
  <c r="AP135" i="47"/>
  <c r="AP134" i="47" s="1"/>
  <c r="AQ134" i="47" s="1"/>
  <c r="AO135" i="47"/>
  <c r="AO134" i="47" s="1"/>
  <c r="AN135" i="47"/>
  <c r="AN134" i="47" s="1"/>
  <c r="AM135" i="47"/>
  <c r="AM134" i="47" s="1"/>
  <c r="AK135" i="47"/>
  <c r="AL135" i="47" s="1"/>
  <c r="AJ135" i="47"/>
  <c r="AI135" i="47"/>
  <c r="AH135" i="47"/>
  <c r="AG135" i="47"/>
  <c r="AG134" i="47" s="1"/>
  <c r="Q135" i="47"/>
  <c r="Q134" i="47" s="1"/>
  <c r="P135" i="47"/>
  <c r="O135" i="47"/>
  <c r="O134" i="47" s="1"/>
  <c r="AZ134" i="47"/>
  <c r="AY134" i="47"/>
  <c r="AX134" i="47"/>
  <c r="AY136" i="47" s="1"/>
  <c r="AK134" i="47"/>
  <c r="AL134" i="47" s="1"/>
  <c r="AJ134" i="47"/>
  <c r="AI134" i="47"/>
  <c r="AH134" i="47"/>
  <c r="BA134" i="47" s="1"/>
  <c r="BB134" i="47" s="1"/>
  <c r="P134" i="47"/>
  <c r="BC133" i="47"/>
  <c r="BD133" i="47" s="1"/>
  <c r="BB133" i="47"/>
  <c r="BA133" i="47"/>
  <c r="AY133" i="47"/>
  <c r="AR133" i="47"/>
  <c r="AR132" i="47" s="1"/>
  <c r="AQ133" i="47"/>
  <c r="AL133" i="47"/>
  <c r="Z133" i="47"/>
  <c r="AA133" i="47" s="1"/>
  <c r="AA132" i="47" s="1"/>
  <c r="Y133" i="47"/>
  <c r="R133" i="47"/>
  <c r="Q133" i="47"/>
  <c r="P133" i="47"/>
  <c r="P132" i="47" s="1"/>
  <c r="O133" i="47"/>
  <c r="O132" i="47" s="1"/>
  <c r="BC132" i="47"/>
  <c r="BA132" i="47"/>
  <c r="BB132" i="47" s="1"/>
  <c r="AZ132" i="47"/>
  <c r="AZ117" i="47" s="1"/>
  <c r="AX132" i="47"/>
  <c r="AW132" i="47"/>
  <c r="AY132" i="47" s="1"/>
  <c r="AV132" i="47"/>
  <c r="AU132" i="47"/>
  <c r="AT132" i="47"/>
  <c r="AS132" i="47"/>
  <c r="AP132" i="47"/>
  <c r="AQ132" i="47" s="1"/>
  <c r="AO132" i="47"/>
  <c r="AN132" i="47"/>
  <c r="AM132" i="47"/>
  <c r="AK132" i="47"/>
  <c r="AL132" i="47" s="1"/>
  <c r="AJ132" i="47"/>
  <c r="AJ117" i="47" s="1"/>
  <c r="AI132" i="47"/>
  <c r="AH132" i="47"/>
  <c r="AH117" i="47" s="1"/>
  <c r="AG132" i="47"/>
  <c r="R132" i="47"/>
  <c r="Q132" i="47"/>
  <c r="AY131" i="47"/>
  <c r="AR131" i="47"/>
  <c r="AQ131" i="47"/>
  <c r="AN131" i="47"/>
  <c r="BC131" i="47" s="1"/>
  <c r="BD131" i="47" s="1"/>
  <c r="AL131" i="47"/>
  <c r="AI131" i="47"/>
  <c r="BA131" i="47" s="1"/>
  <c r="BB131" i="47" s="1"/>
  <c r="Z131" i="47"/>
  <c r="Y131" i="47"/>
  <c r="R131" i="47"/>
  <c r="R125" i="47" s="1"/>
  <c r="Q131" i="47"/>
  <c r="P131" i="47"/>
  <c r="O131" i="47"/>
  <c r="AY130" i="47"/>
  <c r="AR130" i="47"/>
  <c r="AQ130" i="47"/>
  <c r="AN130" i="47"/>
  <c r="BC130" i="47" s="1"/>
  <c r="BD130" i="47" s="1"/>
  <c r="AL130" i="47"/>
  <c r="AI130" i="47"/>
  <c r="BA130" i="47" s="1"/>
  <c r="BB130" i="47" s="1"/>
  <c r="Z130" i="47"/>
  <c r="AA130" i="47" s="1"/>
  <c r="Y130" i="47"/>
  <c r="R130" i="47"/>
  <c r="Q130" i="47"/>
  <c r="P130" i="47"/>
  <c r="O130" i="47"/>
  <c r="BD129" i="47"/>
  <c r="BC129" i="47"/>
  <c r="BA129" i="47"/>
  <c r="BB129" i="47" s="1"/>
  <c r="AY129" i="47"/>
  <c r="AR129" i="47"/>
  <c r="AQ129" i="47"/>
  <c r="AL129" i="47"/>
  <c r="AA129" i="47"/>
  <c r="Z129" i="47"/>
  <c r="Y129" i="47"/>
  <c r="R129" i="47"/>
  <c r="Q129" i="47"/>
  <c r="P129" i="47"/>
  <c r="O129" i="47"/>
  <c r="BD128" i="47"/>
  <c r="BC128" i="47"/>
  <c r="BA128" i="47"/>
  <c r="BB128" i="47" s="1"/>
  <c r="AR128" i="47"/>
  <c r="AQ128" i="47"/>
  <c r="AL128" i="47"/>
  <c r="Z128" i="47"/>
  <c r="AA128" i="47" s="1"/>
  <c r="Y128" i="47"/>
  <c r="R128" i="47"/>
  <c r="Q128" i="47"/>
  <c r="P128" i="47"/>
  <c r="O128" i="47"/>
  <c r="AX127" i="47"/>
  <c r="AW127" i="47"/>
  <c r="AV127" i="47"/>
  <c r="AU127" i="47"/>
  <c r="AS127" i="47"/>
  <c r="AS125" i="47" s="1"/>
  <c r="AR127" i="47"/>
  <c r="AQ127" i="47"/>
  <c r="AN127" i="47"/>
  <c r="AL127" i="47"/>
  <c r="AI127" i="47"/>
  <c r="BA127" i="47" s="1"/>
  <c r="BB127" i="47" s="1"/>
  <c r="Z127" i="47"/>
  <c r="Y127" i="47"/>
  <c r="AA127" i="47" s="1"/>
  <c r="R127" i="47"/>
  <c r="Q127" i="47"/>
  <c r="P127" i="47"/>
  <c r="O127" i="47"/>
  <c r="BA126" i="47"/>
  <c r="BB126" i="47" s="1"/>
  <c r="AX126" i="47"/>
  <c r="AY128" i="47" s="1"/>
  <c r="AW126" i="47"/>
  <c r="AV126" i="47"/>
  <c r="AU126" i="47"/>
  <c r="AS126" i="47"/>
  <c r="AR126" i="47"/>
  <c r="AQ126" i="47"/>
  <c r="AN126" i="47"/>
  <c r="AN125" i="47" s="1"/>
  <c r="AL126" i="47"/>
  <c r="AI126" i="47"/>
  <c r="AA126" i="47"/>
  <c r="Z126" i="47"/>
  <c r="Y126" i="47"/>
  <c r="R126" i="47"/>
  <c r="Q126" i="47"/>
  <c r="Q125" i="47" s="1"/>
  <c r="P126" i="47"/>
  <c r="P125" i="47" s="1"/>
  <c r="O126" i="47"/>
  <c r="O125" i="47" s="1"/>
  <c r="AZ125" i="47"/>
  <c r="AX125" i="47"/>
  <c r="AY127" i="47" s="1"/>
  <c r="AV125" i="47"/>
  <c r="BC125" i="47" s="1"/>
  <c r="BD125" i="47" s="1"/>
  <c r="AU125" i="47"/>
  <c r="AT125" i="47"/>
  <c r="AP125" i="47"/>
  <c r="AQ125" i="47" s="1"/>
  <c r="AO125" i="47"/>
  <c r="AM125" i="47"/>
  <c r="AL125" i="47"/>
  <c r="AK125" i="47"/>
  <c r="AJ125" i="47"/>
  <c r="AI125" i="47"/>
  <c r="AH125" i="47"/>
  <c r="BA125" i="47" s="1"/>
  <c r="BB125" i="47" s="1"/>
  <c r="AG125" i="47"/>
  <c r="BC124" i="47"/>
  <c r="BD124" i="47" s="1"/>
  <c r="BA124" i="47"/>
  <c r="BB124" i="47" s="1"/>
  <c r="AY124" i="47"/>
  <c r="AR124" i="47"/>
  <c r="AR121" i="47" s="1"/>
  <c r="AQ124" i="47"/>
  <c r="AL124" i="47"/>
  <c r="Z124" i="47"/>
  <c r="AA124" i="47" s="1"/>
  <c r="Y124" i="47"/>
  <c r="R124" i="47"/>
  <c r="Q124" i="47"/>
  <c r="P124" i="47"/>
  <c r="O124" i="47"/>
  <c r="AX123" i="47"/>
  <c r="AW123" i="47"/>
  <c r="AV123" i="47"/>
  <c r="AU123" i="47"/>
  <c r="AT123" i="47"/>
  <c r="BC123" i="47" s="1"/>
  <c r="BD123" i="47" s="1"/>
  <c r="AS123" i="47"/>
  <c r="AR123" i="47"/>
  <c r="AQ123" i="47"/>
  <c r="AN123" i="47"/>
  <c r="AL123" i="47"/>
  <c r="AI123" i="47"/>
  <c r="BA123" i="47" s="1"/>
  <c r="BB123" i="47" s="1"/>
  <c r="AA123" i="47"/>
  <c r="Z123" i="47"/>
  <c r="Y123" i="47"/>
  <c r="R123" i="47"/>
  <c r="Q123" i="47"/>
  <c r="P123" i="47"/>
  <c r="O123" i="47"/>
  <c r="BA122" i="47"/>
  <c r="BB122" i="47" s="1"/>
  <c r="AX122" i="47"/>
  <c r="AX121" i="47" s="1"/>
  <c r="AY123" i="47" s="1"/>
  <c r="AW122" i="47"/>
  <c r="AV122" i="47"/>
  <c r="AV121" i="47" s="1"/>
  <c r="AU122" i="47"/>
  <c r="AU121" i="47" s="1"/>
  <c r="AT122" i="47"/>
  <c r="AS122" i="47"/>
  <c r="AR122" i="47"/>
  <c r="AQ122" i="47"/>
  <c r="AN122" i="47"/>
  <c r="AL122" i="47"/>
  <c r="AI122" i="47"/>
  <c r="Z122" i="47"/>
  <c r="Y122" i="47"/>
  <c r="AA122" i="47" s="1"/>
  <c r="R122" i="47"/>
  <c r="R121" i="47" s="1"/>
  <c r="Q122" i="47"/>
  <c r="Q121" i="47" s="1"/>
  <c r="P122" i="47"/>
  <c r="P121" i="47" s="1"/>
  <c r="O122" i="47"/>
  <c r="O121" i="47" s="1"/>
  <c r="AZ121" i="47"/>
  <c r="AP121" i="47"/>
  <c r="AQ121" i="47" s="1"/>
  <c r="AO121" i="47"/>
  <c r="AN121" i="47"/>
  <c r="AN117" i="47" s="1"/>
  <c r="AM121" i="47"/>
  <c r="AL121" i="47"/>
  <c r="AK121" i="47"/>
  <c r="AJ121" i="47"/>
  <c r="AI121" i="47"/>
  <c r="AH121" i="47"/>
  <c r="BA121" i="47" s="1"/>
  <c r="BB121" i="47" s="1"/>
  <c r="AG121" i="47"/>
  <c r="BC120" i="47"/>
  <c r="BD120" i="47" s="1"/>
  <c r="BA120" i="47"/>
  <c r="BB120" i="47" s="1"/>
  <c r="AR120" i="47"/>
  <c r="AQ120" i="47"/>
  <c r="AL120" i="47"/>
  <c r="Z120" i="47"/>
  <c r="Y120" i="47"/>
  <c r="R120" i="47"/>
  <c r="Q120" i="47"/>
  <c r="P120" i="47"/>
  <c r="O120" i="47"/>
  <c r="BD119" i="47"/>
  <c r="BC119" i="47"/>
  <c r="BB119" i="47"/>
  <c r="BA119" i="47"/>
  <c r="AR119" i="47"/>
  <c r="AR118" i="47" s="1"/>
  <c r="AQ119" i="47"/>
  <c r="AL119" i="47"/>
  <c r="Z119" i="47"/>
  <c r="Y119" i="47"/>
  <c r="AA119" i="47" s="1"/>
  <c r="R119" i="47"/>
  <c r="R118" i="47" s="1"/>
  <c r="Q119" i="47"/>
  <c r="Q118" i="47" s="1"/>
  <c r="Q117" i="47" s="1"/>
  <c r="P119" i="47"/>
  <c r="O119" i="47"/>
  <c r="AZ118" i="47"/>
  <c r="AX118" i="47"/>
  <c r="AW118" i="47"/>
  <c r="AV118" i="47"/>
  <c r="AU118" i="47"/>
  <c r="AT118" i="47"/>
  <c r="AS118" i="47"/>
  <c r="AP118" i="47"/>
  <c r="AO118" i="47"/>
  <c r="AN118" i="47"/>
  <c r="AM118" i="47"/>
  <c r="AK118" i="47"/>
  <c r="AJ118" i="47"/>
  <c r="AI118" i="47"/>
  <c r="AH118" i="47"/>
  <c r="AG118" i="47"/>
  <c r="AQ118" i="47" s="1"/>
  <c r="P118" i="47"/>
  <c r="O118" i="47"/>
  <c r="AP117" i="47"/>
  <c r="AO117" i="47"/>
  <c r="BC116" i="47"/>
  <c r="BD116" i="47" s="1"/>
  <c r="BA116" i="47"/>
  <c r="BB116" i="47" s="1"/>
  <c r="AR116" i="47"/>
  <c r="AQ116" i="47"/>
  <c r="AL116" i="47"/>
  <c r="Z116" i="47"/>
  <c r="Y116" i="47"/>
  <c r="R116" i="47"/>
  <c r="Q116" i="47"/>
  <c r="P116" i="47"/>
  <c r="O116" i="47"/>
  <c r="BC115" i="47"/>
  <c r="BD115" i="47" s="1"/>
  <c r="BB115" i="47"/>
  <c r="BA115" i="47"/>
  <c r="AY115" i="47"/>
  <c r="AR115" i="47"/>
  <c r="AQ115" i="47"/>
  <c r="AL115" i="47"/>
  <c r="Z115" i="47"/>
  <c r="Y115" i="47"/>
  <c r="AA115" i="47" s="1"/>
  <c r="R115" i="47"/>
  <c r="Q115" i="47"/>
  <c r="P115" i="47"/>
  <c r="O115" i="47"/>
  <c r="AZ114" i="47"/>
  <c r="AY114" i="47"/>
  <c r="AX114" i="47"/>
  <c r="AY116" i="47" s="1"/>
  <c r="AW114" i="47"/>
  <c r="AV114" i="47"/>
  <c r="BC114" i="47" s="1"/>
  <c r="BD114" i="47" s="1"/>
  <c r="AU114" i="47"/>
  <c r="AT114" i="47"/>
  <c r="AS114" i="47"/>
  <c r="AR114" i="47"/>
  <c r="AQ114" i="47"/>
  <c r="AO114" i="47"/>
  <c r="AN114" i="47"/>
  <c r="AM114" i="47"/>
  <c r="AK114" i="47"/>
  <c r="AL114" i="47" s="1"/>
  <c r="AJ114" i="47"/>
  <c r="BA114" i="47" s="1"/>
  <c r="BB114" i="47" s="1"/>
  <c r="AI114" i="47"/>
  <c r="AH114" i="47"/>
  <c r="AG114" i="47"/>
  <c r="R114" i="47"/>
  <c r="Q114" i="47"/>
  <c r="O114" i="47"/>
  <c r="BC113" i="47"/>
  <c r="BD113" i="47" s="1"/>
  <c r="BB113" i="47"/>
  <c r="BA113" i="47"/>
  <c r="AR113" i="47"/>
  <c r="AQ113" i="47"/>
  <c r="AL113" i="47"/>
  <c r="Z113" i="47"/>
  <c r="AA113" i="47" s="1"/>
  <c r="Y113" i="47"/>
  <c r="R113" i="47"/>
  <c r="Q113" i="47"/>
  <c r="P113" i="47"/>
  <c r="P111" i="47" s="1"/>
  <c r="O113" i="47"/>
  <c r="BC112" i="47"/>
  <c r="BD112" i="47" s="1"/>
  <c r="BA112" i="47"/>
  <c r="BB112" i="47" s="1"/>
  <c r="AY112" i="47"/>
  <c r="AR112" i="47"/>
  <c r="AQ112" i="47"/>
  <c r="AL112" i="47"/>
  <c r="Z112" i="47"/>
  <c r="AA112" i="47" s="1"/>
  <c r="Y112" i="47"/>
  <c r="R112" i="47"/>
  <c r="Q112" i="47"/>
  <c r="P112" i="47"/>
  <c r="O112" i="47"/>
  <c r="O111" i="47" s="1"/>
  <c r="AZ111" i="47"/>
  <c r="AY111" i="47"/>
  <c r="AX111" i="47"/>
  <c r="AY113" i="47" s="1"/>
  <c r="AW111" i="47"/>
  <c r="AV111" i="47"/>
  <c r="AU111" i="47"/>
  <c r="AT111" i="47"/>
  <c r="AS111" i="47"/>
  <c r="AP111" i="47"/>
  <c r="AO111" i="47"/>
  <c r="AN111" i="47"/>
  <c r="AM111" i="47"/>
  <c r="AK111" i="47"/>
  <c r="AL111" i="47" s="1"/>
  <c r="AJ111" i="47"/>
  <c r="AI111" i="47"/>
  <c r="AI100" i="47" s="1"/>
  <c r="AH111" i="47"/>
  <c r="BA111" i="47" s="1"/>
  <c r="BB111" i="47" s="1"/>
  <c r="AG111" i="47"/>
  <c r="AA111" i="47"/>
  <c r="R111" i="47"/>
  <c r="Q111" i="47"/>
  <c r="BC110" i="47"/>
  <c r="BD110" i="47" s="1"/>
  <c r="BB110" i="47"/>
  <c r="BA110" i="47"/>
  <c r="AY110" i="47"/>
  <c r="AR110" i="47"/>
  <c r="AQ110" i="47"/>
  <c r="AL110" i="47"/>
  <c r="Z110" i="47"/>
  <c r="AA110" i="47" s="1"/>
  <c r="Y110" i="47"/>
  <c r="R110" i="47"/>
  <c r="Q110" i="47"/>
  <c r="P110" i="47"/>
  <c r="O110" i="47"/>
  <c r="BD109" i="47"/>
  <c r="BC109" i="47"/>
  <c r="BA109" i="47"/>
  <c r="BB109" i="47" s="1"/>
  <c r="AY109" i="47"/>
  <c r="AR109" i="47"/>
  <c r="AQ109" i="47"/>
  <c r="AL109" i="47"/>
  <c r="Z109" i="47"/>
  <c r="AA109" i="47" s="1"/>
  <c r="Y109" i="47"/>
  <c r="R109" i="47"/>
  <c r="Q109" i="47"/>
  <c r="P109" i="47"/>
  <c r="O109" i="47"/>
  <c r="BD108" i="47"/>
  <c r="BC108" i="47"/>
  <c r="BA108" i="47"/>
  <c r="BB108" i="47" s="1"/>
  <c r="AY108" i="47"/>
  <c r="AR108" i="47"/>
  <c r="AQ108" i="47"/>
  <c r="AL108" i="47"/>
  <c r="Z108" i="47"/>
  <c r="Y108" i="47"/>
  <c r="AA108" i="47" s="1"/>
  <c r="R108" i="47"/>
  <c r="Q108" i="47"/>
  <c r="P108" i="47"/>
  <c r="O108" i="47"/>
  <c r="BC107" i="47"/>
  <c r="BD107" i="47" s="1"/>
  <c r="BB107" i="47"/>
  <c r="BA107" i="47"/>
  <c r="AR107" i="47"/>
  <c r="AQ107" i="47"/>
  <c r="AL107" i="47"/>
  <c r="Z107" i="47"/>
  <c r="AA107" i="47" s="1"/>
  <c r="Y107" i="47"/>
  <c r="R107" i="47"/>
  <c r="Q107" i="47"/>
  <c r="P107" i="47"/>
  <c r="O107" i="47"/>
  <c r="BD106" i="47"/>
  <c r="BC106" i="47"/>
  <c r="BB106" i="47"/>
  <c r="BA106" i="47"/>
  <c r="AY106" i="47"/>
  <c r="AR106" i="47"/>
  <c r="AR105" i="47" s="1"/>
  <c r="AQ106" i="47"/>
  <c r="AL106" i="47"/>
  <c r="AA106" i="47"/>
  <c r="Z106" i="47"/>
  <c r="Y106" i="47"/>
  <c r="R106" i="47"/>
  <c r="Q106" i="47"/>
  <c r="P106" i="47"/>
  <c r="O106" i="47"/>
  <c r="AZ105" i="47"/>
  <c r="AX105" i="47"/>
  <c r="AY107" i="47" s="1"/>
  <c r="AW105" i="47"/>
  <c r="AY105" i="47" s="1"/>
  <c r="AV105" i="47"/>
  <c r="AU105" i="47"/>
  <c r="AT105" i="47"/>
  <c r="AS105" i="47"/>
  <c r="AP105" i="47"/>
  <c r="AO105" i="47"/>
  <c r="AN105" i="47"/>
  <c r="AM105" i="47"/>
  <c r="AK105" i="47"/>
  <c r="AL105" i="47" s="1"/>
  <c r="AJ105" i="47"/>
  <c r="AI105" i="47"/>
  <c r="AH105" i="47"/>
  <c r="BA105" i="47" s="1"/>
  <c r="BB105" i="47" s="1"/>
  <c r="AG105" i="47"/>
  <c r="BD104" i="47"/>
  <c r="BC104" i="47"/>
  <c r="BB104" i="47"/>
  <c r="BA104" i="47"/>
  <c r="AY104" i="47"/>
  <c r="AR104" i="47"/>
  <c r="AQ104" i="47"/>
  <c r="AL104" i="47"/>
  <c r="Z104" i="47"/>
  <c r="AA104" i="47" s="1"/>
  <c r="Y104" i="47"/>
  <c r="R104" i="47"/>
  <c r="Q104" i="47"/>
  <c r="P104" i="47"/>
  <c r="O104" i="47"/>
  <c r="BD103" i="47"/>
  <c r="BC103" i="47"/>
  <c r="BB103" i="47"/>
  <c r="BA103" i="47"/>
  <c r="AR103" i="47"/>
  <c r="AQ103" i="47"/>
  <c r="AL103" i="47"/>
  <c r="Z103" i="47"/>
  <c r="Y103" i="47"/>
  <c r="AA103" i="47" s="1"/>
  <c r="AA101" i="47" s="1"/>
  <c r="R103" i="47"/>
  <c r="R101" i="47" s="1"/>
  <c r="Q103" i="47"/>
  <c r="Q101" i="47" s="1"/>
  <c r="P103" i="47"/>
  <c r="O103" i="47"/>
  <c r="BC102" i="47"/>
  <c r="BD102" i="47" s="1"/>
  <c r="BA102" i="47"/>
  <c r="BB102" i="47" s="1"/>
  <c r="AR102" i="47"/>
  <c r="AQ102" i="47"/>
  <c r="AL102" i="47"/>
  <c r="AA102" i="47"/>
  <c r="Z102" i="47"/>
  <c r="Y102" i="47"/>
  <c r="R102" i="47"/>
  <c r="Q102" i="47"/>
  <c r="P102" i="47"/>
  <c r="O102" i="47"/>
  <c r="O101" i="47" s="1"/>
  <c r="AZ101" i="47"/>
  <c r="AZ100" i="47" s="1"/>
  <c r="AZ99" i="47" s="1"/>
  <c r="AX101" i="47"/>
  <c r="AW101" i="47"/>
  <c r="AV101" i="47"/>
  <c r="AU101" i="47"/>
  <c r="AT101" i="47"/>
  <c r="AS101" i="47"/>
  <c r="AS100" i="47" s="1"/>
  <c r="AR101" i="47"/>
  <c r="AQ101" i="47"/>
  <c r="AP101" i="47"/>
  <c r="AO101" i="47"/>
  <c r="AN101" i="47"/>
  <c r="AM101" i="47"/>
  <c r="AK101" i="47"/>
  <c r="AJ101" i="47"/>
  <c r="AI101" i="47"/>
  <c r="AH101" i="47"/>
  <c r="AG101" i="47"/>
  <c r="P101" i="47"/>
  <c r="AP100" i="47"/>
  <c r="AO100" i="47"/>
  <c r="AO99" i="47" s="1"/>
  <c r="AN100" i="47"/>
  <c r="AM100" i="47"/>
  <c r="BD98" i="47"/>
  <c r="BC98" i="47"/>
  <c r="BA98" i="47"/>
  <c r="BB98" i="47" s="1"/>
  <c r="AY98" i="47"/>
  <c r="AR98" i="47"/>
  <c r="AR97" i="47" s="1"/>
  <c r="AQ98" i="47"/>
  <c r="AL98" i="47"/>
  <c r="AA98" i="47"/>
  <c r="AA97" i="47" s="1"/>
  <c r="Z98" i="47"/>
  <c r="Y98" i="47"/>
  <c r="R98" i="47"/>
  <c r="Q98" i="47"/>
  <c r="Q97" i="47" s="1"/>
  <c r="P98" i="47"/>
  <c r="P97" i="47" s="1"/>
  <c r="O98" i="47"/>
  <c r="AZ97" i="47"/>
  <c r="AX97" i="47"/>
  <c r="AW97" i="47"/>
  <c r="AY97" i="47" s="1"/>
  <c r="AV97" i="47"/>
  <c r="BC97" i="47" s="1"/>
  <c r="BD97" i="47" s="1"/>
  <c r="AU97" i="47"/>
  <c r="AU78" i="47" s="1"/>
  <c r="AT97" i="47"/>
  <c r="AS97" i="47"/>
  <c r="AP97" i="47"/>
  <c r="AQ97" i="47" s="1"/>
  <c r="AO97" i="47"/>
  <c r="AN97" i="47"/>
  <c r="AM97" i="47"/>
  <c r="AL97" i="47"/>
  <c r="AK97" i="47"/>
  <c r="AJ97" i="47"/>
  <c r="AI97" i="47"/>
  <c r="AH97" i="47"/>
  <c r="BA97" i="47" s="1"/>
  <c r="BB97" i="47" s="1"/>
  <c r="AG97" i="47"/>
  <c r="R97" i="47"/>
  <c r="O97" i="47"/>
  <c r="BC96" i="47"/>
  <c r="BD96" i="47" s="1"/>
  <c r="BA96" i="47"/>
  <c r="BB96" i="47" s="1"/>
  <c r="AY96" i="47"/>
  <c r="AR96" i="47"/>
  <c r="AQ96" i="47"/>
  <c r="AL96" i="47"/>
  <c r="AA96" i="47"/>
  <c r="Z96" i="47"/>
  <c r="Y96" i="47"/>
  <c r="R96" i="47"/>
  <c r="Q96" i="47"/>
  <c r="P96" i="47"/>
  <c r="O96" i="47"/>
  <c r="BD95" i="47"/>
  <c r="BC95" i="47"/>
  <c r="BB95" i="47"/>
  <c r="BA95" i="47"/>
  <c r="AY95" i="47"/>
  <c r="AR95" i="47"/>
  <c r="AQ95" i="47"/>
  <c r="AL95" i="47"/>
  <c r="Z95" i="47"/>
  <c r="AA95" i="47" s="1"/>
  <c r="Y95" i="47"/>
  <c r="R95" i="47"/>
  <c r="Q95" i="47"/>
  <c r="P95" i="47"/>
  <c r="O95" i="47"/>
  <c r="BC94" i="47"/>
  <c r="BD94" i="47" s="1"/>
  <c r="BA94" i="47"/>
  <c r="BB94" i="47" s="1"/>
  <c r="AR94" i="47"/>
  <c r="AQ94" i="47"/>
  <c r="AL94" i="47"/>
  <c r="AA94" i="47"/>
  <c r="Z94" i="47"/>
  <c r="Y94" i="47"/>
  <c r="R94" i="47"/>
  <c r="Q94" i="47"/>
  <c r="P94" i="47"/>
  <c r="O94" i="47"/>
  <c r="BC93" i="47"/>
  <c r="BD93" i="47" s="1"/>
  <c r="BB93" i="47"/>
  <c r="BA93" i="47"/>
  <c r="AY93" i="47"/>
  <c r="AR93" i="47"/>
  <c r="AQ93" i="47"/>
  <c r="AL93" i="47"/>
  <c r="Z93" i="47"/>
  <c r="AA93" i="47" s="1"/>
  <c r="Y93" i="47"/>
  <c r="R93" i="47"/>
  <c r="R92" i="47" s="1"/>
  <c r="Q93" i="47"/>
  <c r="P93" i="47"/>
  <c r="O93" i="47"/>
  <c r="O92" i="47" s="1"/>
  <c r="AZ92" i="47"/>
  <c r="AX92" i="47"/>
  <c r="AY94" i="47" s="1"/>
  <c r="AW92" i="47"/>
  <c r="AY92" i="47" s="1"/>
  <c r="AV92" i="47"/>
  <c r="AU92" i="47"/>
  <c r="AT92" i="47"/>
  <c r="AS92" i="47"/>
  <c r="AR92" i="47"/>
  <c r="AP92" i="47"/>
  <c r="AQ92" i="47" s="1"/>
  <c r="AO92" i="47"/>
  <c r="AN92" i="47"/>
  <c r="AM92" i="47"/>
  <c r="AK92" i="47"/>
  <c r="AL92" i="47" s="1"/>
  <c r="AJ92" i="47"/>
  <c r="AI92" i="47"/>
  <c r="AH92" i="47"/>
  <c r="AG92" i="47"/>
  <c r="BC91" i="47"/>
  <c r="BD91" i="47" s="1"/>
  <c r="BA91" i="47"/>
  <c r="BB91" i="47" s="1"/>
  <c r="AY91" i="47"/>
  <c r="AR91" i="47"/>
  <c r="AQ91" i="47"/>
  <c r="AL91" i="47"/>
  <c r="Z91" i="47"/>
  <c r="Y91" i="47"/>
  <c r="AA91" i="47" s="1"/>
  <c r="R91" i="47"/>
  <c r="Q91" i="47"/>
  <c r="P91" i="47"/>
  <c r="O91" i="47"/>
  <c r="BC90" i="47"/>
  <c r="BD90" i="47" s="1"/>
  <c r="BA90" i="47"/>
  <c r="BB90" i="47" s="1"/>
  <c r="AY90" i="47"/>
  <c r="AR90" i="47"/>
  <c r="AQ90" i="47"/>
  <c r="AL90" i="47"/>
  <c r="Z90" i="47"/>
  <c r="AA90" i="47" s="1"/>
  <c r="Y90" i="47"/>
  <c r="R90" i="47"/>
  <c r="Q90" i="47"/>
  <c r="P90" i="47"/>
  <c r="O90" i="47"/>
  <c r="BC89" i="47"/>
  <c r="BD89" i="47" s="1"/>
  <c r="BA89" i="47"/>
  <c r="BB89" i="47" s="1"/>
  <c r="AY89" i="47"/>
  <c r="AR89" i="47"/>
  <c r="AQ89" i="47"/>
  <c r="AL89" i="47"/>
  <c r="AA89" i="47"/>
  <c r="Z89" i="47"/>
  <c r="Y89" i="47"/>
  <c r="R89" i="47"/>
  <c r="Q89" i="47"/>
  <c r="P89" i="47"/>
  <c r="O89" i="47"/>
  <c r="BC88" i="47"/>
  <c r="BD88" i="47" s="1"/>
  <c r="BB88" i="47"/>
  <c r="BA88" i="47"/>
  <c r="AY88" i="47"/>
  <c r="AR88" i="47"/>
  <c r="AQ88" i="47"/>
  <c r="AL88" i="47"/>
  <c r="Z88" i="47"/>
  <c r="AA88" i="47" s="1"/>
  <c r="Y88" i="47"/>
  <c r="R88" i="47"/>
  <c r="Q88" i="47"/>
  <c r="P88" i="47"/>
  <c r="O88" i="47"/>
  <c r="BD87" i="47"/>
  <c r="BC87" i="47"/>
  <c r="BA87" i="47"/>
  <c r="BB87" i="47" s="1"/>
  <c r="AY87" i="47"/>
  <c r="AR87" i="47"/>
  <c r="AQ87" i="47"/>
  <c r="AL87" i="47"/>
  <c r="Z87" i="47"/>
  <c r="AA87" i="47" s="1"/>
  <c r="Y87" i="47"/>
  <c r="R87" i="47"/>
  <c r="Q87" i="47"/>
  <c r="P87" i="47"/>
  <c r="O87" i="47"/>
  <c r="BC86" i="47"/>
  <c r="BD86" i="47" s="1"/>
  <c r="BB86" i="47"/>
  <c r="BA86" i="47"/>
  <c r="AY86" i="47"/>
  <c r="AR86" i="47"/>
  <c r="AQ86" i="47"/>
  <c r="AL86" i="47"/>
  <c r="AA86" i="47"/>
  <c r="Z86" i="47"/>
  <c r="Y86" i="47"/>
  <c r="R86" i="47"/>
  <c r="Q86" i="47"/>
  <c r="P86" i="47"/>
  <c r="O86" i="47"/>
  <c r="BC85" i="47"/>
  <c r="BA85" i="47"/>
  <c r="AY85" i="47"/>
  <c r="AR85" i="47"/>
  <c r="AL85" i="47"/>
  <c r="Z85" i="47"/>
  <c r="AA85" i="47" s="1"/>
  <c r="Y85" i="47"/>
  <c r="R85" i="47"/>
  <c r="Q85" i="47"/>
  <c r="P85" i="47"/>
  <c r="O85" i="47"/>
  <c r="BD84" i="47"/>
  <c r="BC84" i="47"/>
  <c r="BB84" i="47"/>
  <c r="BA84" i="47"/>
  <c r="AY84" i="47"/>
  <c r="AR84" i="47"/>
  <c r="AR79" i="47" s="1"/>
  <c r="AR78" i="47" s="1"/>
  <c r="AQ84" i="47"/>
  <c r="AL84" i="47"/>
  <c r="AA84" i="47"/>
  <c r="Z84" i="47"/>
  <c r="Y84" i="47"/>
  <c r="R84" i="47"/>
  <c r="Q84" i="47"/>
  <c r="P84" i="47"/>
  <c r="O84" i="47"/>
  <c r="BC83" i="47"/>
  <c r="BD83" i="47" s="1"/>
  <c r="BA83" i="47"/>
  <c r="BB83" i="47" s="1"/>
  <c r="AY83" i="47"/>
  <c r="AR83" i="47"/>
  <c r="AQ83" i="47"/>
  <c r="AL83" i="47"/>
  <c r="Z83" i="47"/>
  <c r="AA83" i="47" s="1"/>
  <c r="Y83" i="47"/>
  <c r="R83" i="47"/>
  <c r="Q83" i="47"/>
  <c r="P83" i="47"/>
  <c r="O83" i="47"/>
  <c r="BC82" i="47"/>
  <c r="BD82" i="47" s="1"/>
  <c r="BB82" i="47"/>
  <c r="BA82" i="47"/>
  <c r="AY82" i="47"/>
  <c r="AR82" i="47"/>
  <c r="AQ82" i="47"/>
  <c r="AL82" i="47"/>
  <c r="Z82" i="47"/>
  <c r="AA82" i="47" s="1"/>
  <c r="Y82" i="47"/>
  <c r="R82" i="47"/>
  <c r="Q82" i="47"/>
  <c r="P82" i="47"/>
  <c r="O82" i="47"/>
  <c r="BD81" i="47"/>
  <c r="BC81" i="47"/>
  <c r="BA81" i="47"/>
  <c r="BB81" i="47" s="1"/>
  <c r="AR81" i="47"/>
  <c r="AQ81" i="47"/>
  <c r="AL81" i="47"/>
  <c r="Z81" i="47"/>
  <c r="AA81" i="47" s="1"/>
  <c r="Y81" i="47"/>
  <c r="R81" i="47"/>
  <c r="Q81" i="47"/>
  <c r="P81" i="47"/>
  <c r="O81" i="47"/>
  <c r="BD80" i="47"/>
  <c r="BC80" i="47"/>
  <c r="BA80" i="47"/>
  <c r="BB80" i="47" s="1"/>
  <c r="AR80" i="47"/>
  <c r="AQ80" i="47"/>
  <c r="AL80" i="47"/>
  <c r="AA80" i="47"/>
  <c r="Z80" i="47"/>
  <c r="Y80" i="47"/>
  <c r="Q80" i="47"/>
  <c r="P80" i="47"/>
  <c r="O80" i="47"/>
  <c r="BC79" i="47"/>
  <c r="BD79" i="47" s="1"/>
  <c r="BA79" i="47"/>
  <c r="BB79" i="47" s="1"/>
  <c r="AZ79" i="47"/>
  <c r="AX79" i="47"/>
  <c r="AY81" i="47" s="1"/>
  <c r="AW79" i="47"/>
  <c r="AV79" i="47"/>
  <c r="AU79" i="47"/>
  <c r="AT79" i="47"/>
  <c r="AT78" i="47" s="1"/>
  <c r="AS79" i="47"/>
  <c r="AS78" i="47" s="1"/>
  <c r="AP79" i="47"/>
  <c r="AQ79" i="47" s="1"/>
  <c r="AO79" i="47"/>
  <c r="AN79" i="47"/>
  <c r="AM79" i="47"/>
  <c r="AM78" i="47" s="1"/>
  <c r="AK79" i="47"/>
  <c r="AK78" i="47" s="1"/>
  <c r="AJ79" i="47"/>
  <c r="AI79" i="47"/>
  <c r="AH79" i="47"/>
  <c r="AG79" i="47"/>
  <c r="AZ78" i="47"/>
  <c r="AX78" i="47"/>
  <c r="AY80" i="47" s="1"/>
  <c r="AJ78" i="47"/>
  <c r="AI78" i="47"/>
  <c r="AH78" i="47"/>
  <c r="BA78" i="47" s="1"/>
  <c r="BB78" i="47" s="1"/>
  <c r="BC77" i="47"/>
  <c r="BD77" i="47" s="1"/>
  <c r="BA77" i="47"/>
  <c r="BB77" i="47" s="1"/>
  <c r="AY77" i="47"/>
  <c r="AR77" i="47"/>
  <c r="AQ77" i="47"/>
  <c r="AL77" i="47"/>
  <c r="Z77" i="47"/>
  <c r="AA77" i="47" s="1"/>
  <c r="Y77" i="47"/>
  <c r="R77" i="47"/>
  <c r="Q77" i="47"/>
  <c r="P77" i="47"/>
  <c r="O77" i="47"/>
  <c r="BC76" i="47"/>
  <c r="BD76" i="47" s="1"/>
  <c r="BA76" i="47"/>
  <c r="BB76" i="47" s="1"/>
  <c r="AY76" i="47"/>
  <c r="AR76" i="47"/>
  <c r="AR75" i="47" s="1"/>
  <c r="AQ76" i="47"/>
  <c r="AL76" i="47"/>
  <c r="AH76" i="47"/>
  <c r="AA76" i="47"/>
  <c r="Z76" i="47"/>
  <c r="Y76" i="47"/>
  <c r="R76" i="47"/>
  <c r="Q76" i="47"/>
  <c r="P76" i="47"/>
  <c r="P75" i="47" s="1"/>
  <c r="O76" i="47"/>
  <c r="O75" i="47" s="1"/>
  <c r="AZ75" i="47"/>
  <c r="AZ69" i="47" s="1"/>
  <c r="AX75" i="47"/>
  <c r="AW75" i="47"/>
  <c r="AY75" i="47" s="1"/>
  <c r="AV75" i="47"/>
  <c r="BC75" i="47" s="1"/>
  <c r="BD75" i="47" s="1"/>
  <c r="AU75" i="47"/>
  <c r="AT75" i="47"/>
  <c r="AS75" i="47"/>
  <c r="AP75" i="47"/>
  <c r="AO75" i="47"/>
  <c r="AN75" i="47"/>
  <c r="AM75" i="47"/>
  <c r="AK75" i="47"/>
  <c r="AL75" i="47" s="1"/>
  <c r="AJ75" i="47"/>
  <c r="AI75" i="47"/>
  <c r="AH75" i="47"/>
  <c r="AH69" i="47" s="1"/>
  <c r="BA69" i="47" s="1"/>
  <c r="BB69" i="47" s="1"/>
  <c r="AG75" i="47"/>
  <c r="AQ75" i="47" s="1"/>
  <c r="AA75" i="47"/>
  <c r="R75" i="47"/>
  <c r="Q75" i="47"/>
  <c r="BD74" i="47"/>
  <c r="BC74" i="47"/>
  <c r="BB74" i="47"/>
  <c r="BA74" i="47"/>
  <c r="AY74" i="47"/>
  <c r="AR74" i="47"/>
  <c r="AQ74" i="47"/>
  <c r="AL74" i="47"/>
  <c r="Z74" i="47"/>
  <c r="AA74" i="47" s="1"/>
  <c r="AA73" i="47" s="1"/>
  <c r="Y74" i="47"/>
  <c r="R74" i="47"/>
  <c r="R73" i="47" s="1"/>
  <c r="Q74" i="47"/>
  <c r="Q73" i="47" s="1"/>
  <c r="P74" i="47"/>
  <c r="P73" i="47" s="1"/>
  <c r="O74" i="47"/>
  <c r="BC73" i="47"/>
  <c r="BD73" i="47" s="1"/>
  <c r="AZ73" i="47"/>
  <c r="AX73" i="47"/>
  <c r="AW73" i="47"/>
  <c r="AY73" i="47" s="1"/>
  <c r="AV73" i="47"/>
  <c r="AU73" i="47"/>
  <c r="AT73" i="47"/>
  <c r="AS73" i="47"/>
  <c r="AR73" i="47"/>
  <c r="AP73" i="47"/>
  <c r="AQ73" i="47" s="1"/>
  <c r="AO73" i="47"/>
  <c r="AN73" i="47"/>
  <c r="AM73" i="47"/>
  <c r="AM69" i="47" s="1"/>
  <c r="AK73" i="47"/>
  <c r="AJ73" i="47"/>
  <c r="AI73" i="47"/>
  <c r="AH73" i="47"/>
  <c r="AG73" i="47"/>
  <c r="AL73" i="47" s="1"/>
  <c r="O73" i="47"/>
  <c r="BD72" i="47"/>
  <c r="BC72" i="47"/>
  <c r="BA72" i="47"/>
  <c r="BB72" i="47" s="1"/>
  <c r="AY72" i="47"/>
  <c r="AR72" i="47"/>
  <c r="AQ72" i="47"/>
  <c r="AL72" i="47"/>
  <c r="AA72" i="47"/>
  <c r="Z72" i="47"/>
  <c r="Y72" i="47"/>
  <c r="R72" i="47"/>
  <c r="Q72" i="47"/>
  <c r="P72" i="47"/>
  <c r="O72" i="47"/>
  <c r="BC71" i="47"/>
  <c r="BD71" i="47" s="1"/>
  <c r="BB71" i="47"/>
  <c r="BA71" i="47"/>
  <c r="AR71" i="47"/>
  <c r="AQ71" i="47"/>
  <c r="AL71" i="47"/>
  <c r="Z71" i="47"/>
  <c r="Y71" i="47"/>
  <c r="R71" i="47"/>
  <c r="R70" i="47" s="1"/>
  <c r="R69" i="47" s="1"/>
  <c r="Q71" i="47"/>
  <c r="P71" i="47"/>
  <c r="O71" i="47"/>
  <c r="BA70" i="47"/>
  <c r="BB70" i="47" s="1"/>
  <c r="AZ70" i="47"/>
  <c r="AX70" i="47"/>
  <c r="AW70" i="47"/>
  <c r="AV70" i="47"/>
  <c r="AU70" i="47"/>
  <c r="AT70" i="47"/>
  <c r="AS70" i="47"/>
  <c r="AS69" i="47" s="1"/>
  <c r="AR70" i="47"/>
  <c r="AQ70" i="47"/>
  <c r="AP70" i="47"/>
  <c r="AO70" i="47"/>
  <c r="AN70" i="47"/>
  <c r="AM70" i="47"/>
  <c r="AK70" i="47"/>
  <c r="AL70" i="47" s="1"/>
  <c r="AJ70" i="47"/>
  <c r="AI70" i="47"/>
  <c r="AH70" i="47"/>
  <c r="AG70" i="47"/>
  <c r="Q70" i="47"/>
  <c r="P70" i="47"/>
  <c r="O70" i="47"/>
  <c r="AO69" i="47"/>
  <c r="AN69" i="47"/>
  <c r="AK69" i="47"/>
  <c r="AK55" i="47" s="1"/>
  <c r="AJ69" i="47"/>
  <c r="AJ55" i="47" s="1"/>
  <c r="AI69" i="47"/>
  <c r="BD68" i="47"/>
  <c r="BC68" i="47"/>
  <c r="BA68" i="47"/>
  <c r="BB68" i="47" s="1"/>
  <c r="AY68" i="47"/>
  <c r="AR68" i="47"/>
  <c r="AQ68" i="47"/>
  <c r="AL68" i="47"/>
  <c r="Z68" i="47"/>
  <c r="AA68" i="47" s="1"/>
  <c r="Y68" i="47"/>
  <c r="R68" i="47"/>
  <c r="Q68" i="47"/>
  <c r="P68" i="47"/>
  <c r="O68" i="47"/>
  <c r="BC67" i="47"/>
  <c r="BD67" i="47" s="1"/>
  <c r="BB67" i="47"/>
  <c r="BA67" i="47"/>
  <c r="AY67" i="47"/>
  <c r="AR67" i="47"/>
  <c r="AQ67" i="47"/>
  <c r="AL67" i="47"/>
  <c r="Z67" i="47"/>
  <c r="AA67" i="47" s="1"/>
  <c r="Y67" i="47"/>
  <c r="R67" i="47"/>
  <c r="Q67" i="47"/>
  <c r="P67" i="47"/>
  <c r="O67" i="47"/>
  <c r="BD66" i="47"/>
  <c r="BC66" i="47"/>
  <c r="BB66" i="47"/>
  <c r="BA66" i="47"/>
  <c r="AY66" i="47"/>
  <c r="AR66" i="47"/>
  <c r="AQ66" i="47"/>
  <c r="AL66" i="47"/>
  <c r="Z66" i="47"/>
  <c r="Y66" i="47"/>
  <c r="R66" i="47"/>
  <c r="Q66" i="47"/>
  <c r="P66" i="47"/>
  <c r="O66" i="47"/>
  <c r="O63" i="47" s="1"/>
  <c r="BD65" i="47"/>
  <c r="BC65" i="47"/>
  <c r="BA65" i="47"/>
  <c r="BB65" i="47" s="1"/>
  <c r="AY65" i="47"/>
  <c r="AR65" i="47"/>
  <c r="AQ65" i="47"/>
  <c r="AL65" i="47"/>
  <c r="Z65" i="47"/>
  <c r="Y65" i="47"/>
  <c r="AA65" i="47" s="1"/>
  <c r="R65" i="47"/>
  <c r="Q65" i="47"/>
  <c r="P65" i="47"/>
  <c r="O65" i="47"/>
  <c r="BD64" i="47"/>
  <c r="BC64" i="47"/>
  <c r="BB64" i="47"/>
  <c r="BA64" i="47"/>
  <c r="AY64" i="47"/>
  <c r="AR64" i="47"/>
  <c r="AR63" i="47" s="1"/>
  <c r="AQ64" i="47"/>
  <c r="AL64" i="47"/>
  <c r="Z64" i="47"/>
  <c r="AA64" i="47" s="1"/>
  <c r="Y64" i="47"/>
  <c r="R64" i="47"/>
  <c r="Q64" i="47"/>
  <c r="P64" i="47"/>
  <c r="O64" i="47"/>
  <c r="AZ63" i="47"/>
  <c r="AX63" i="47"/>
  <c r="AW63" i="47"/>
  <c r="AW56" i="47" s="1"/>
  <c r="AV63" i="47"/>
  <c r="BC63" i="47" s="1"/>
  <c r="BD63" i="47" s="1"/>
  <c r="AU63" i="47"/>
  <c r="AT63" i="47"/>
  <c r="AS63" i="47"/>
  <c r="AS56" i="47" s="1"/>
  <c r="AP63" i="47"/>
  <c r="AO63" i="47"/>
  <c r="AN63" i="47"/>
  <c r="AM63" i="47"/>
  <c r="AK63" i="47"/>
  <c r="AJ63" i="47"/>
  <c r="AI63" i="47"/>
  <c r="AH63" i="47"/>
  <c r="BA63" i="47" s="1"/>
  <c r="BB63" i="47" s="1"/>
  <c r="AG63" i="47"/>
  <c r="AG56" i="47" s="1"/>
  <c r="Z63" i="47"/>
  <c r="R63" i="47"/>
  <c r="BD62" i="47"/>
  <c r="BC62" i="47"/>
  <c r="BA62" i="47"/>
  <c r="BB62" i="47" s="1"/>
  <c r="AY62" i="47"/>
  <c r="AR62" i="47"/>
  <c r="AQ62" i="47"/>
  <c r="AL62" i="47"/>
  <c r="Z62" i="47"/>
  <c r="AA62" i="47" s="1"/>
  <c r="Y62" i="47"/>
  <c r="R62" i="47"/>
  <c r="Q62" i="47"/>
  <c r="P62" i="47"/>
  <c r="O62" i="47"/>
  <c r="BC61" i="47"/>
  <c r="BD61" i="47" s="1"/>
  <c r="BA61" i="47"/>
  <c r="BB61" i="47" s="1"/>
  <c r="AY61" i="47"/>
  <c r="AR61" i="47"/>
  <c r="AQ61" i="47"/>
  <c r="AL61" i="47"/>
  <c r="AA61" i="47"/>
  <c r="Z61" i="47"/>
  <c r="Y61" i="47"/>
  <c r="R61" i="47"/>
  <c r="Q61" i="47"/>
  <c r="P61" i="47"/>
  <c r="O61" i="47"/>
  <c r="BD60" i="47"/>
  <c r="BC60" i="47"/>
  <c r="BB60" i="47"/>
  <c r="BA60" i="47"/>
  <c r="AY60" i="47"/>
  <c r="AR60" i="47"/>
  <c r="AQ60" i="47"/>
  <c r="AL60" i="47"/>
  <c r="Z60" i="47"/>
  <c r="AA60" i="47" s="1"/>
  <c r="Y60" i="47"/>
  <c r="R60" i="47"/>
  <c r="Q60" i="47"/>
  <c r="P60" i="47"/>
  <c r="O60" i="47"/>
  <c r="BC59" i="47"/>
  <c r="BD59" i="47" s="1"/>
  <c r="BB59" i="47"/>
  <c r="BA59" i="47"/>
  <c r="AR59" i="47"/>
  <c r="AQ59" i="47"/>
  <c r="AL59" i="47"/>
  <c r="Z59" i="47"/>
  <c r="Y59" i="47"/>
  <c r="AA59" i="47" s="1"/>
  <c r="R59" i="47"/>
  <c r="Q59" i="47"/>
  <c r="P59" i="47"/>
  <c r="O59" i="47"/>
  <c r="BC58" i="47"/>
  <c r="BD58" i="47" s="1"/>
  <c r="BB58" i="47"/>
  <c r="BA58" i="47"/>
  <c r="AR58" i="47"/>
  <c r="AQ58" i="47"/>
  <c r="AL58" i="47"/>
  <c r="AA58" i="47"/>
  <c r="Z58" i="47"/>
  <c r="Y58" i="47"/>
  <c r="R58" i="47"/>
  <c r="Q58" i="47"/>
  <c r="P58" i="47"/>
  <c r="P57" i="47" s="1"/>
  <c r="O58" i="47"/>
  <c r="O57" i="47" s="1"/>
  <c r="AZ57" i="47"/>
  <c r="AX57" i="47"/>
  <c r="AY59" i="47" s="1"/>
  <c r="AW57" i="47"/>
  <c r="AV57" i="47"/>
  <c r="AU57" i="47"/>
  <c r="AT57" i="47"/>
  <c r="AS57" i="47"/>
  <c r="AR57" i="47"/>
  <c r="AP57" i="47"/>
  <c r="AQ57" i="47" s="1"/>
  <c r="AO57" i="47"/>
  <c r="AO56" i="47" s="1"/>
  <c r="AN57" i="47"/>
  <c r="AN56" i="47" s="1"/>
  <c r="AM57" i="47"/>
  <c r="AK57" i="47"/>
  <c r="AK56" i="47" s="1"/>
  <c r="AJ57" i="47"/>
  <c r="AJ56" i="47" s="1"/>
  <c r="AI57" i="47"/>
  <c r="AI56" i="47" s="1"/>
  <c r="AI55" i="47" s="1"/>
  <c r="AH57" i="47"/>
  <c r="AG57" i="47"/>
  <c r="Z57" i="47"/>
  <c r="AZ56" i="47"/>
  <c r="AZ55" i="47" s="1"/>
  <c r="AX56" i="47"/>
  <c r="AT56" i="47"/>
  <c r="Z56" i="47"/>
  <c r="Z55" i="47"/>
  <c r="BD54" i="47"/>
  <c r="BC54" i="47"/>
  <c r="AY54" i="47"/>
  <c r="AR54" i="47"/>
  <c r="AQ54" i="47"/>
  <c r="AL54" i="47"/>
  <c r="AH54" i="47"/>
  <c r="BA54" i="47" s="1"/>
  <c r="BB54" i="47" s="1"/>
  <c r="AA54" i="47"/>
  <c r="Z54" i="47"/>
  <c r="Y54" i="47"/>
  <c r="R54" i="47"/>
  <c r="Q54" i="47"/>
  <c r="P54" i="47"/>
  <c r="O54" i="47"/>
  <c r="BD53" i="47"/>
  <c r="BC53" i="47"/>
  <c r="BA53" i="47"/>
  <c r="BB53" i="47" s="1"/>
  <c r="AY53" i="47"/>
  <c r="AR53" i="47"/>
  <c r="AQ53" i="47"/>
  <c r="AL53" i="47"/>
  <c r="Z53" i="47"/>
  <c r="AA53" i="47" s="1"/>
  <c r="Y53" i="47"/>
  <c r="R53" i="47"/>
  <c r="Q53" i="47"/>
  <c r="P53" i="47"/>
  <c r="O53" i="47"/>
  <c r="BC52" i="47"/>
  <c r="BD52" i="47" s="1"/>
  <c r="BA52" i="47"/>
  <c r="BB52" i="47" s="1"/>
  <c r="AY52" i="47"/>
  <c r="AR52" i="47"/>
  <c r="AQ52" i="47"/>
  <c r="AL52" i="47"/>
  <c r="Z52" i="47"/>
  <c r="Y52" i="47"/>
  <c r="R52" i="47"/>
  <c r="Q52" i="47"/>
  <c r="P52" i="47"/>
  <c r="O52" i="47"/>
  <c r="BD51" i="47"/>
  <c r="BC51" i="47"/>
  <c r="BB51" i="47"/>
  <c r="BA51" i="47"/>
  <c r="AR51" i="47"/>
  <c r="AQ51" i="47"/>
  <c r="AL51" i="47"/>
  <c r="Z51" i="47"/>
  <c r="Y51" i="47"/>
  <c r="R51" i="47"/>
  <c r="Q51" i="47"/>
  <c r="P51" i="47"/>
  <c r="O51" i="47"/>
  <c r="BC50" i="47"/>
  <c r="BD50" i="47" s="1"/>
  <c r="BB50" i="47"/>
  <c r="BA50" i="47"/>
  <c r="AR50" i="47"/>
  <c r="AR49" i="47" s="1"/>
  <c r="AR48" i="47" s="1"/>
  <c r="AQ50" i="47"/>
  <c r="AL50" i="47"/>
  <c r="Z50" i="47"/>
  <c r="AA50" i="47" s="1"/>
  <c r="Y50" i="47"/>
  <c r="R50" i="47"/>
  <c r="Q50" i="47"/>
  <c r="P50" i="47"/>
  <c r="O50" i="47"/>
  <c r="O49" i="47" s="1"/>
  <c r="AZ49" i="47"/>
  <c r="AZ48" i="47" s="1"/>
  <c r="AX49" i="47"/>
  <c r="AY51" i="47" s="1"/>
  <c r="AW49" i="47"/>
  <c r="AY49" i="47" s="1"/>
  <c r="AV49" i="47"/>
  <c r="AV48" i="47" s="1"/>
  <c r="AU49" i="47"/>
  <c r="AU48" i="47" s="1"/>
  <c r="AT49" i="47"/>
  <c r="AT48" i="47" s="1"/>
  <c r="BC48" i="47" s="1"/>
  <c r="BD48" i="47" s="1"/>
  <c r="AS49" i="47"/>
  <c r="AP49" i="47"/>
  <c r="AO49" i="47"/>
  <c r="AN49" i="47"/>
  <c r="AM49" i="47"/>
  <c r="AK49" i="47"/>
  <c r="AK48" i="47" s="1"/>
  <c r="AJ49" i="47"/>
  <c r="AJ48" i="47" s="1"/>
  <c r="AI49" i="47"/>
  <c r="AG49" i="47"/>
  <c r="AG48" i="47" s="1"/>
  <c r="R49" i="47"/>
  <c r="R48" i="47" s="1"/>
  <c r="Q49" i="47"/>
  <c r="Q48" i="47" s="1"/>
  <c r="AX48" i="47"/>
  <c r="AY50" i="47" s="1"/>
  <c r="AS48" i="47"/>
  <c r="AP48" i="47"/>
  <c r="AQ48" i="47" s="1"/>
  <c r="AO48" i="47"/>
  <c r="AN48" i="47"/>
  <c r="AM48" i="47"/>
  <c r="AI48" i="47"/>
  <c r="O48" i="47"/>
  <c r="BD47" i="47"/>
  <c r="BC47" i="47"/>
  <c r="BB47" i="47"/>
  <c r="BA47" i="47"/>
  <c r="AY47" i="47"/>
  <c r="AS47" i="47"/>
  <c r="AR47" i="47"/>
  <c r="AQ47" i="47"/>
  <c r="AN47" i="47"/>
  <c r="AL47" i="47"/>
  <c r="AI47" i="47"/>
  <c r="Z47" i="47"/>
  <c r="Y47" i="47"/>
  <c r="R47" i="47"/>
  <c r="Q47" i="47"/>
  <c r="P47" i="47"/>
  <c r="O47" i="47"/>
  <c r="BD46" i="47"/>
  <c r="BC46" i="47"/>
  <c r="BA46" i="47"/>
  <c r="BB46" i="47" s="1"/>
  <c r="AS46" i="47"/>
  <c r="AS44" i="47" s="1"/>
  <c r="AR46" i="47"/>
  <c r="AQ46" i="47"/>
  <c r="AN46" i="47"/>
  <c r="AL46" i="47"/>
  <c r="AI46" i="47"/>
  <c r="Z46" i="47"/>
  <c r="Y46" i="47"/>
  <c r="R46" i="47"/>
  <c r="Q46" i="47"/>
  <c r="P46" i="47"/>
  <c r="O46" i="47"/>
  <c r="BD45" i="47"/>
  <c r="BC45" i="47"/>
  <c r="BA45" i="47"/>
  <c r="BB45" i="47" s="1"/>
  <c r="AY45" i="47"/>
  <c r="AR45" i="47"/>
  <c r="AQ45" i="47"/>
  <c r="AL45" i="47"/>
  <c r="Z45" i="47"/>
  <c r="Y45" i="47"/>
  <c r="AA45" i="47" s="1"/>
  <c r="R45" i="47"/>
  <c r="Q45" i="47"/>
  <c r="P45" i="47"/>
  <c r="O45" i="47"/>
  <c r="BC44" i="47"/>
  <c r="BD44" i="47" s="1"/>
  <c r="AZ44" i="47"/>
  <c r="AY44" i="47"/>
  <c r="AX44" i="47"/>
  <c r="AW44" i="47"/>
  <c r="AV44" i="47"/>
  <c r="AU44" i="47"/>
  <c r="AT44" i="47"/>
  <c r="AR44" i="47"/>
  <c r="AP44" i="47"/>
  <c r="AP31" i="47" s="1"/>
  <c r="AQ31" i="47" s="1"/>
  <c r="AO44" i="47"/>
  <c r="AO31" i="47" s="1"/>
  <c r="AO7" i="47" s="1"/>
  <c r="AN44" i="47"/>
  <c r="AN31" i="47" s="1"/>
  <c r="AM44" i="47"/>
  <c r="AM31" i="47" s="1"/>
  <c r="AL44" i="47"/>
  <c r="AK44" i="47"/>
  <c r="AJ44" i="47"/>
  <c r="AI44" i="47"/>
  <c r="AH44" i="47"/>
  <c r="AG44" i="47"/>
  <c r="Z44" i="47"/>
  <c r="BD43" i="47"/>
  <c r="BC43" i="47"/>
  <c r="BA43" i="47"/>
  <c r="BB43" i="47" s="1"/>
  <c r="AY43" i="47"/>
  <c r="AR43" i="47"/>
  <c r="AQ43" i="47"/>
  <c r="AL43" i="47"/>
  <c r="Z43" i="47"/>
  <c r="AA43" i="47" s="1"/>
  <c r="Y43" i="47"/>
  <c r="R43" i="47"/>
  <c r="Q43" i="47"/>
  <c r="P43" i="47"/>
  <c r="O43" i="47"/>
  <c r="BC42" i="47"/>
  <c r="BD42" i="47" s="1"/>
  <c r="BB42" i="47"/>
  <c r="BA42" i="47"/>
  <c r="AY42" i="47"/>
  <c r="AR42" i="47"/>
  <c r="AQ42" i="47"/>
  <c r="AL42" i="47"/>
  <c r="Z42" i="47"/>
  <c r="AA42" i="47" s="1"/>
  <c r="Y42" i="47"/>
  <c r="R42" i="47"/>
  <c r="Q42" i="47"/>
  <c r="P42" i="47"/>
  <c r="O42" i="47"/>
  <c r="BC41" i="47"/>
  <c r="BD41" i="47" s="1"/>
  <c r="BA41" i="47"/>
  <c r="BB41" i="47" s="1"/>
  <c r="AY41" i="47"/>
  <c r="AR41" i="47"/>
  <c r="AQ41" i="47"/>
  <c r="AL41" i="47"/>
  <c r="Z41" i="47"/>
  <c r="AA41" i="47" s="1"/>
  <c r="Y41" i="47"/>
  <c r="R41" i="47"/>
  <c r="Q41" i="47"/>
  <c r="P41" i="47"/>
  <c r="O41" i="47"/>
  <c r="BD40" i="47"/>
  <c r="BC40" i="47"/>
  <c r="BA40" i="47"/>
  <c r="BB40" i="47" s="1"/>
  <c r="AY40" i="47"/>
  <c r="AR40" i="47"/>
  <c r="AQ40" i="47"/>
  <c r="AL40" i="47"/>
  <c r="Z40" i="47"/>
  <c r="Y40" i="47"/>
  <c r="R40" i="47"/>
  <c r="Q40" i="47"/>
  <c r="P40" i="47"/>
  <c r="O40" i="47"/>
  <c r="BC39" i="47"/>
  <c r="BD39" i="47" s="1"/>
  <c r="BB39" i="47"/>
  <c r="BA39" i="47"/>
  <c r="AY39" i="47"/>
  <c r="AR39" i="47"/>
  <c r="AQ39" i="47"/>
  <c r="AL39" i="47"/>
  <c r="AA39" i="47"/>
  <c r="Z39" i="47"/>
  <c r="Y39" i="47"/>
  <c r="R39" i="47"/>
  <c r="Q39" i="47"/>
  <c r="P39" i="47"/>
  <c r="O39" i="47"/>
  <c r="BD38" i="47"/>
  <c r="BC38" i="47"/>
  <c r="BA38" i="47"/>
  <c r="BB38" i="47" s="1"/>
  <c r="AR38" i="47"/>
  <c r="AQ38" i="47"/>
  <c r="AL38" i="47"/>
  <c r="AA38" i="47"/>
  <c r="Z38" i="47"/>
  <c r="Y38" i="47"/>
  <c r="R38" i="47"/>
  <c r="Q38" i="47"/>
  <c r="P38" i="47"/>
  <c r="O38" i="47"/>
  <c r="BC37" i="47"/>
  <c r="BD37" i="47" s="1"/>
  <c r="BB37" i="47"/>
  <c r="BA37" i="47"/>
  <c r="AY37" i="47"/>
  <c r="AR37" i="47"/>
  <c r="AQ37" i="47"/>
  <c r="AL37" i="47"/>
  <c r="Z37" i="47"/>
  <c r="AA37" i="47" s="1"/>
  <c r="Y37" i="47"/>
  <c r="R37" i="47"/>
  <c r="Q37" i="47"/>
  <c r="P37" i="47"/>
  <c r="O37" i="47"/>
  <c r="BA36" i="47"/>
  <c r="BB36" i="47" s="1"/>
  <c r="AZ36" i="47"/>
  <c r="AX36" i="47"/>
  <c r="AY38" i="47" s="1"/>
  <c r="AW36" i="47"/>
  <c r="AY36" i="47" s="1"/>
  <c r="AV36" i="47"/>
  <c r="AU36" i="47"/>
  <c r="AT36" i="47"/>
  <c r="BC36" i="47" s="1"/>
  <c r="BD36" i="47" s="1"/>
  <c r="AS36" i="47"/>
  <c r="AQ36" i="47"/>
  <c r="AP36" i="47"/>
  <c r="AO36" i="47"/>
  <c r="AN36" i="47"/>
  <c r="AM36" i="47"/>
  <c r="AL36" i="47"/>
  <c r="AK36" i="47"/>
  <c r="AJ36" i="47"/>
  <c r="AI36" i="47"/>
  <c r="AH36" i="47"/>
  <c r="AG36" i="47"/>
  <c r="Z36" i="47"/>
  <c r="Q36" i="47"/>
  <c r="O36" i="47"/>
  <c r="BC35" i="47"/>
  <c r="BD35" i="47" s="1"/>
  <c r="BB35" i="47"/>
  <c r="BA35" i="47"/>
  <c r="AY35" i="47"/>
  <c r="AR35" i="47"/>
  <c r="AQ35" i="47"/>
  <c r="AL35" i="47"/>
  <c r="AA35" i="47"/>
  <c r="Z35" i="47"/>
  <c r="Y35" i="47"/>
  <c r="R35" i="47"/>
  <c r="Q35" i="47"/>
  <c r="P35" i="47"/>
  <c r="O35" i="47"/>
  <c r="BC34" i="47"/>
  <c r="BD34" i="47" s="1"/>
  <c r="BA34" i="47"/>
  <c r="BB34" i="47" s="1"/>
  <c r="AR34" i="47"/>
  <c r="AQ34" i="47"/>
  <c r="AL34" i="47"/>
  <c r="Z34" i="47"/>
  <c r="AA34" i="47" s="1"/>
  <c r="Y34" i="47"/>
  <c r="R34" i="47"/>
  <c r="Q34" i="47"/>
  <c r="P34" i="47"/>
  <c r="O34" i="47"/>
  <c r="BC33" i="47"/>
  <c r="BD33" i="47" s="1"/>
  <c r="BA33" i="47"/>
  <c r="BB33" i="47" s="1"/>
  <c r="AR33" i="47"/>
  <c r="AQ33" i="47"/>
  <c r="AL33" i="47"/>
  <c r="Z33" i="47"/>
  <c r="Y33" i="47"/>
  <c r="AA33" i="47" s="1"/>
  <c r="R33" i="47"/>
  <c r="Q33" i="47"/>
  <c r="P33" i="47"/>
  <c r="O33" i="47"/>
  <c r="AZ32" i="47"/>
  <c r="AZ31" i="47" s="1"/>
  <c r="AX32" i="47"/>
  <c r="AY34" i="47" s="1"/>
  <c r="AW32" i="47"/>
  <c r="AW31" i="47" s="1"/>
  <c r="AY31" i="47" s="1"/>
  <c r="AV32" i="47"/>
  <c r="AV31" i="47" s="1"/>
  <c r="AU32" i="47"/>
  <c r="AU31" i="47" s="1"/>
  <c r="AT32" i="47"/>
  <c r="BC32" i="47" s="1"/>
  <c r="BD32" i="47" s="1"/>
  <c r="AS32" i="47"/>
  <c r="AS31" i="47" s="1"/>
  <c r="AR32" i="47"/>
  <c r="AP32" i="47"/>
  <c r="AO32" i="47"/>
  <c r="AN32" i="47"/>
  <c r="AM32" i="47"/>
  <c r="AK32" i="47"/>
  <c r="AJ32" i="47"/>
  <c r="AI32" i="47"/>
  <c r="AH32" i="47"/>
  <c r="AG32" i="47"/>
  <c r="AG31" i="47" s="1"/>
  <c r="Z32" i="47"/>
  <c r="R32" i="47"/>
  <c r="Q32" i="47"/>
  <c r="P32" i="47"/>
  <c r="O32" i="47"/>
  <c r="Z31" i="47"/>
  <c r="BD30" i="47"/>
  <c r="BC30" i="47"/>
  <c r="BA30" i="47"/>
  <c r="BB30" i="47" s="1"/>
  <c r="AY30" i="47"/>
  <c r="AR30" i="47"/>
  <c r="AQ30" i="47"/>
  <c r="AL30" i="47"/>
  <c r="Z30" i="47"/>
  <c r="AA30" i="47" s="1"/>
  <c r="Y30" i="47"/>
  <c r="R30" i="47"/>
  <c r="Q30" i="47"/>
  <c r="P30" i="47"/>
  <c r="O30" i="47"/>
  <c r="BC29" i="47"/>
  <c r="BD29" i="47" s="1"/>
  <c r="BB29" i="47"/>
  <c r="BA29" i="47"/>
  <c r="AY29" i="47"/>
  <c r="AR29" i="47"/>
  <c r="AQ29" i="47"/>
  <c r="AL29" i="47"/>
  <c r="Z29" i="47"/>
  <c r="AA29" i="47" s="1"/>
  <c r="Y29" i="47"/>
  <c r="R29" i="47"/>
  <c r="Q29" i="47"/>
  <c r="P29" i="47"/>
  <c r="O29" i="47"/>
  <c r="BC28" i="47"/>
  <c r="BD28" i="47" s="1"/>
  <c r="BA28" i="47"/>
  <c r="BB28" i="47" s="1"/>
  <c r="AY28" i="47"/>
  <c r="AR28" i="47"/>
  <c r="AQ28" i="47"/>
  <c r="AL28" i="47"/>
  <c r="AA28" i="47"/>
  <c r="Z28" i="47"/>
  <c r="Y28" i="47"/>
  <c r="R28" i="47"/>
  <c r="Q28" i="47"/>
  <c r="P28" i="47"/>
  <c r="O28" i="47"/>
  <c r="BC27" i="47"/>
  <c r="BD27" i="47" s="1"/>
  <c r="BA27" i="47"/>
  <c r="BB27" i="47" s="1"/>
  <c r="AY27" i="47"/>
  <c r="AR27" i="47"/>
  <c r="AQ27" i="47"/>
  <c r="AL27" i="47"/>
  <c r="Z27" i="47"/>
  <c r="AA27" i="47" s="1"/>
  <c r="Y27" i="47"/>
  <c r="R27" i="47"/>
  <c r="Q27" i="47"/>
  <c r="P27" i="47"/>
  <c r="O27" i="47"/>
  <c r="BC26" i="47"/>
  <c r="BD26" i="47" s="1"/>
  <c r="BA26" i="47"/>
  <c r="BB26" i="47" s="1"/>
  <c r="AY26" i="47"/>
  <c r="AR26" i="47"/>
  <c r="AR25" i="47" s="1"/>
  <c r="AQ26" i="47"/>
  <c r="AL26" i="47"/>
  <c r="AA26" i="47"/>
  <c r="Z26" i="47"/>
  <c r="Y26" i="47"/>
  <c r="R26" i="47"/>
  <c r="Q26" i="47"/>
  <c r="P26" i="47"/>
  <c r="O26" i="47"/>
  <c r="AZ25" i="47"/>
  <c r="AX25" i="47"/>
  <c r="AW25" i="47"/>
  <c r="AY25" i="47" s="1"/>
  <c r="AV25" i="47"/>
  <c r="BC25" i="47" s="1"/>
  <c r="BD25" i="47" s="1"/>
  <c r="AU25" i="47"/>
  <c r="AU8" i="47" s="1"/>
  <c r="AT25" i="47"/>
  <c r="AS25" i="47"/>
  <c r="AP25" i="47"/>
  <c r="AO25" i="47"/>
  <c r="AN25" i="47"/>
  <c r="AM25" i="47"/>
  <c r="AK25" i="47"/>
  <c r="AL25" i="47" s="1"/>
  <c r="AJ25" i="47"/>
  <c r="AI25" i="47"/>
  <c r="AH25" i="47"/>
  <c r="BA25" i="47" s="1"/>
  <c r="BB25" i="47" s="1"/>
  <c r="AG25" i="47"/>
  <c r="AA25" i="47"/>
  <c r="R25" i="47"/>
  <c r="P25" i="47"/>
  <c r="O25" i="47"/>
  <c r="BD24" i="47"/>
  <c r="BC24" i="47"/>
  <c r="BA24" i="47"/>
  <c r="BB24" i="47" s="1"/>
  <c r="AR24" i="47"/>
  <c r="AQ24" i="47"/>
  <c r="AL24" i="47"/>
  <c r="Z24" i="47"/>
  <c r="AA24" i="47" s="1"/>
  <c r="Y24" i="47"/>
  <c r="R24" i="47"/>
  <c r="Q24" i="47"/>
  <c r="P24" i="47"/>
  <c r="O24" i="47"/>
  <c r="O22" i="47" s="1"/>
  <c r="BC23" i="47"/>
  <c r="BD23" i="47" s="1"/>
  <c r="BB23" i="47"/>
  <c r="BA23" i="47"/>
  <c r="AY23" i="47"/>
  <c r="AR23" i="47"/>
  <c r="AQ23" i="47"/>
  <c r="AL23" i="47"/>
  <c r="Z23" i="47"/>
  <c r="Y23" i="47"/>
  <c r="AA23" i="47" s="1"/>
  <c r="R23" i="47"/>
  <c r="R22" i="47" s="1"/>
  <c r="Q23" i="47"/>
  <c r="Q22" i="47" s="1"/>
  <c r="P23" i="47"/>
  <c r="P22" i="47" s="1"/>
  <c r="O23" i="47"/>
  <c r="BC22" i="47"/>
  <c r="BD22" i="47" s="1"/>
  <c r="AZ22" i="47"/>
  <c r="AY22" i="47"/>
  <c r="AX22" i="47"/>
  <c r="AY24" i="47" s="1"/>
  <c r="AW22" i="47"/>
  <c r="AV22" i="47"/>
  <c r="AU22" i="47"/>
  <c r="AT22" i="47"/>
  <c r="AS22" i="47"/>
  <c r="AR22" i="47"/>
  <c r="AP22" i="47"/>
  <c r="AQ22" i="47" s="1"/>
  <c r="AO22" i="47"/>
  <c r="AN22" i="47"/>
  <c r="AM22" i="47"/>
  <c r="AL22" i="47"/>
  <c r="AK22" i="47"/>
  <c r="BA22" i="47" s="1"/>
  <c r="BB22" i="47" s="1"/>
  <c r="AJ22" i="47"/>
  <c r="AI22" i="47"/>
  <c r="AH22" i="47"/>
  <c r="AG22" i="47"/>
  <c r="BC21" i="47"/>
  <c r="BD21" i="47" s="1"/>
  <c r="BA21" i="47"/>
  <c r="BB21" i="47" s="1"/>
  <c r="AY21" i="47"/>
  <c r="AR21" i="47"/>
  <c r="AQ21" i="47"/>
  <c r="AL21" i="47"/>
  <c r="Z21" i="47"/>
  <c r="AA21" i="47" s="1"/>
  <c r="Y21" i="47"/>
  <c r="R21" i="47"/>
  <c r="Q21" i="47"/>
  <c r="P21" i="47"/>
  <c r="O21" i="47"/>
  <c r="BC20" i="47"/>
  <c r="BD20" i="47" s="1"/>
  <c r="BB20" i="47"/>
  <c r="BA20" i="47"/>
  <c r="AY20" i="47"/>
  <c r="AR20" i="47"/>
  <c r="AQ20" i="47"/>
  <c r="AL20" i="47"/>
  <c r="Z20" i="47"/>
  <c r="AA20" i="47" s="1"/>
  <c r="Y20" i="47"/>
  <c r="R20" i="47"/>
  <c r="Q20" i="47"/>
  <c r="P20" i="47"/>
  <c r="O20" i="47"/>
  <c r="BD19" i="47"/>
  <c r="BC19" i="47"/>
  <c r="BA19" i="47"/>
  <c r="BB19" i="47" s="1"/>
  <c r="AY19" i="47"/>
  <c r="AR19" i="47"/>
  <c r="AQ19" i="47"/>
  <c r="AL19" i="47"/>
  <c r="AA19" i="47"/>
  <c r="Z19" i="47"/>
  <c r="Y19" i="47"/>
  <c r="R19" i="47"/>
  <c r="Q19" i="47"/>
  <c r="P19" i="47"/>
  <c r="O19" i="47"/>
  <c r="BC18" i="47"/>
  <c r="BD18" i="47" s="1"/>
  <c r="BB18" i="47"/>
  <c r="BA18" i="47"/>
  <c r="AY18" i="47"/>
  <c r="AR18" i="47"/>
  <c r="AQ18" i="47"/>
  <c r="AL18" i="47"/>
  <c r="Z18" i="47"/>
  <c r="AA18" i="47" s="1"/>
  <c r="Y18" i="47"/>
  <c r="R18" i="47"/>
  <c r="Q18" i="47"/>
  <c r="P18" i="47"/>
  <c r="O18" i="47"/>
  <c r="BC17" i="47"/>
  <c r="BD17" i="47" s="1"/>
  <c r="BB17" i="47"/>
  <c r="BA17" i="47"/>
  <c r="AY17" i="47"/>
  <c r="AR17" i="47"/>
  <c r="AQ17" i="47"/>
  <c r="AL17" i="47"/>
  <c r="Z17" i="47"/>
  <c r="AA17" i="47" s="1"/>
  <c r="Y17" i="47"/>
  <c r="R17" i="47"/>
  <c r="Q17" i="47"/>
  <c r="P17" i="47"/>
  <c r="O17" i="47"/>
  <c r="BD16" i="47"/>
  <c r="BC16" i="47"/>
  <c r="BA16" i="47"/>
  <c r="BB16" i="47" s="1"/>
  <c r="AY16" i="47"/>
  <c r="AR16" i="47"/>
  <c r="AQ16" i="47"/>
  <c r="AL16" i="47"/>
  <c r="Z16" i="47"/>
  <c r="AA16" i="47" s="1"/>
  <c r="Y16" i="47"/>
  <c r="R16" i="47"/>
  <c r="Q16" i="47"/>
  <c r="P16" i="47"/>
  <c r="O16" i="47"/>
  <c r="BC15" i="47"/>
  <c r="BD15" i="47" s="1"/>
  <c r="BA15" i="47"/>
  <c r="BB15" i="47" s="1"/>
  <c r="AY15" i="47"/>
  <c r="AR15" i="47"/>
  <c r="AQ15" i="47"/>
  <c r="AL15" i="47"/>
  <c r="Z15" i="47"/>
  <c r="AA15" i="47" s="1"/>
  <c r="Y15" i="47"/>
  <c r="R15" i="47"/>
  <c r="Q15" i="47"/>
  <c r="P15" i="47"/>
  <c r="O15" i="47"/>
  <c r="BD14" i="47"/>
  <c r="BC14" i="47"/>
  <c r="BA14" i="47"/>
  <c r="BB14" i="47" s="1"/>
  <c r="AY14" i="47"/>
  <c r="AR14" i="47"/>
  <c r="AQ14" i="47"/>
  <c r="AL14" i="47"/>
  <c r="Z14" i="47"/>
  <c r="Y14" i="47"/>
  <c r="AA14" i="47" s="1"/>
  <c r="R14" i="47"/>
  <c r="Q14" i="47"/>
  <c r="P14" i="47"/>
  <c r="O14" i="47"/>
  <c r="BD13" i="47"/>
  <c r="BC13" i="47"/>
  <c r="BA13" i="47"/>
  <c r="BB13" i="47" s="1"/>
  <c r="AY13" i="47"/>
  <c r="AR13" i="47"/>
  <c r="AQ13" i="47"/>
  <c r="AL13" i="47"/>
  <c r="Z13" i="47"/>
  <c r="AA13" i="47" s="1"/>
  <c r="Y13" i="47"/>
  <c r="R13" i="47"/>
  <c r="Q13" i="47"/>
  <c r="P13" i="47"/>
  <c r="O13" i="47"/>
  <c r="BC12" i="47"/>
  <c r="BD12" i="47" s="1"/>
  <c r="BB12" i="47"/>
  <c r="BA12" i="47"/>
  <c r="AY12" i="47"/>
  <c r="AR12" i="47"/>
  <c r="AQ12" i="47"/>
  <c r="AL12" i="47"/>
  <c r="Z12" i="47"/>
  <c r="Y12" i="47"/>
  <c r="R12" i="47"/>
  <c r="Q12" i="47"/>
  <c r="P12" i="47"/>
  <c r="O12" i="47"/>
  <c r="BD11" i="47"/>
  <c r="BC11" i="47"/>
  <c r="BB11" i="47"/>
  <c r="BA11" i="47"/>
  <c r="AR11" i="47"/>
  <c r="AQ11" i="47"/>
  <c r="AL11" i="47"/>
  <c r="Z11" i="47"/>
  <c r="Y11" i="47"/>
  <c r="R11" i="47"/>
  <c r="Q11" i="47"/>
  <c r="P11" i="47"/>
  <c r="O11" i="47"/>
  <c r="BC10" i="47"/>
  <c r="BC9" i="47" s="1"/>
  <c r="BA10" i="47"/>
  <c r="AR10" i="47"/>
  <c r="AQ10" i="47"/>
  <c r="AL10" i="47"/>
  <c r="Z10" i="47"/>
  <c r="AA10" i="47" s="1"/>
  <c r="Y10" i="47"/>
  <c r="R10" i="47"/>
  <c r="Q10" i="47"/>
  <c r="P10" i="47"/>
  <c r="O10" i="47"/>
  <c r="AZ9" i="47"/>
  <c r="AZ8" i="47" s="1"/>
  <c r="AZ7" i="47" s="1"/>
  <c r="AX9" i="47"/>
  <c r="AW9" i="47"/>
  <c r="AW8" i="47" s="1"/>
  <c r="AV9" i="47"/>
  <c r="AU9" i="47"/>
  <c r="AT9" i="47"/>
  <c r="AS9" i="47"/>
  <c r="AP9" i="47"/>
  <c r="AO9" i="47"/>
  <c r="AO8" i="47" s="1"/>
  <c r="AN9" i="47"/>
  <c r="AM9" i="47"/>
  <c r="AK9" i="47"/>
  <c r="AJ9" i="47"/>
  <c r="AJ8" i="47" s="1"/>
  <c r="AI9" i="47"/>
  <c r="AH9" i="47"/>
  <c r="AH8" i="47" s="1"/>
  <c r="AG9" i="47"/>
  <c r="AL9" i="47" s="1"/>
  <c r="AT8" i="47"/>
  <c r="AS8" i="47"/>
  <c r="AS7" i="47" s="1"/>
  <c r="AK8" i="47"/>
  <c r="AI8" i="47"/>
  <c r="AU7" i="47" l="1"/>
  <c r="AA32" i="47"/>
  <c r="AA92" i="47"/>
  <c r="R117" i="47"/>
  <c r="O100" i="47"/>
  <c r="AN99" i="47"/>
  <c r="AY8" i="47"/>
  <c r="AW7" i="47"/>
  <c r="AA22" i="47"/>
  <c r="AW55" i="47"/>
  <c r="AY55" i="47" s="1"/>
  <c r="AY56" i="47"/>
  <c r="BD9" i="47"/>
  <c r="BC8" i="47"/>
  <c r="AG55" i="47"/>
  <c r="AL55" i="47" s="1"/>
  <c r="AA125" i="47"/>
  <c r="BA117" i="47"/>
  <c r="BB117" i="47" s="1"/>
  <c r="AS146" i="47"/>
  <c r="AX8" i="47"/>
  <c r="AY11" i="47"/>
  <c r="AY147" i="47"/>
  <c r="BD158" i="47"/>
  <c r="Q260" i="47"/>
  <c r="BC111" i="47"/>
  <c r="BD111" i="47" s="1"/>
  <c r="BC126" i="47"/>
  <c r="BD126" i="47" s="1"/>
  <c r="AA131" i="47"/>
  <c r="AA157" i="47"/>
  <c r="BA101" i="47"/>
  <c r="BB101" i="47" s="1"/>
  <c r="AH100" i="47"/>
  <c r="AP239" i="47"/>
  <c r="AQ240" i="47"/>
  <c r="BD10" i="47"/>
  <c r="P44" i="47"/>
  <c r="AA52" i="47"/>
  <c r="AK7" i="47"/>
  <c r="R44" i="47"/>
  <c r="AL8" i="47"/>
  <c r="AQ44" i="47"/>
  <c r="AA51" i="47"/>
  <c r="AK117" i="47"/>
  <c r="AN8" i="47"/>
  <c r="AN7" i="47" s="1"/>
  <c r="AP78" i="47"/>
  <c r="R9" i="47"/>
  <c r="R8" i="47" s="1"/>
  <c r="P63" i="47"/>
  <c r="AT69" i="47"/>
  <c r="BC70" i="47"/>
  <c r="BD70" i="47" s="1"/>
  <c r="AN78" i="47"/>
  <c r="O79" i="47"/>
  <c r="O78" i="47" s="1"/>
  <c r="AS99" i="47"/>
  <c r="AS296" i="47" s="1"/>
  <c r="AA121" i="47"/>
  <c r="AW125" i="47"/>
  <c r="AY125" i="47" s="1"/>
  <c r="AY126" i="47"/>
  <c r="AL141" i="47"/>
  <c r="AZ146" i="47"/>
  <c r="AZ296" i="47" s="1"/>
  <c r="AA207" i="47"/>
  <c r="R229" i="47"/>
  <c r="AA250" i="47"/>
  <c r="AA259" i="47"/>
  <c r="P56" i="47"/>
  <c r="AA180" i="47"/>
  <c r="O44" i="47"/>
  <c r="O31" i="47" s="1"/>
  <c r="AL150" i="47"/>
  <c r="AA46" i="47"/>
  <c r="BA32" i="47"/>
  <c r="BB32" i="47" s="1"/>
  <c r="AI31" i="47"/>
  <c r="AI7" i="47" s="1"/>
  <c r="AL63" i="47"/>
  <c r="AQ63" i="47"/>
  <c r="AP69" i="47"/>
  <c r="AQ69" i="47" s="1"/>
  <c r="AM8" i="47"/>
  <c r="AM7" i="47" s="1"/>
  <c r="AL79" i="47"/>
  <c r="AI293" i="47"/>
  <c r="AR293" i="47" s="1"/>
  <c r="AR294" i="47"/>
  <c r="AA40" i="47"/>
  <c r="AA36" i="47" s="1"/>
  <c r="AL49" i="47"/>
  <c r="AH56" i="47"/>
  <c r="BA57" i="47"/>
  <c r="BB57" i="47" s="1"/>
  <c r="Q63" i="47"/>
  <c r="O69" i="47"/>
  <c r="AU69" i="47"/>
  <c r="AO78" i="47"/>
  <c r="AO55" i="47" s="1"/>
  <c r="AO296" i="47" s="1"/>
  <c r="P79" i="47"/>
  <c r="P78" i="47" s="1"/>
  <c r="BC101" i="47"/>
  <c r="BD101" i="47" s="1"/>
  <c r="AT100" i="47"/>
  <c r="BC105" i="47"/>
  <c r="BD105" i="47" s="1"/>
  <c r="BC118" i="47"/>
  <c r="BD118" i="47" s="1"/>
  <c r="O141" i="47"/>
  <c r="O140" i="47" s="1"/>
  <c r="BC230" i="47"/>
  <c r="BD230" i="47" s="1"/>
  <c r="AM229" i="47"/>
  <c r="AG8" i="47"/>
  <c r="AG7" i="47" s="1"/>
  <c r="O279" i="47"/>
  <c r="O278" i="47" s="1"/>
  <c r="AA120" i="47"/>
  <c r="AA118" i="47" s="1"/>
  <c r="AH49" i="47"/>
  <c r="AA12" i="47"/>
  <c r="AA9" i="47" s="1"/>
  <c r="AA8" i="47" s="1"/>
  <c r="AY32" i="47"/>
  <c r="BA140" i="47"/>
  <c r="BB140" i="47" s="1"/>
  <c r="BC208" i="47"/>
  <c r="BD208" i="47" s="1"/>
  <c r="AJ31" i="47"/>
  <c r="AJ7" i="47" s="1"/>
  <c r="AJ296" i="47" s="1"/>
  <c r="P49" i="47"/>
  <c r="P48" i="47" s="1"/>
  <c r="AX147" i="47"/>
  <c r="Q9" i="47"/>
  <c r="R79" i="47"/>
  <c r="R78" i="47" s="1"/>
  <c r="AP8" i="47"/>
  <c r="AQ9" i="47"/>
  <c r="AT31" i="47"/>
  <c r="AT7" i="47" s="1"/>
  <c r="P36" i="47"/>
  <c r="P31" i="47" s="1"/>
  <c r="AL57" i="47"/>
  <c r="P69" i="47"/>
  <c r="AV69" i="47"/>
  <c r="Q79" i="47"/>
  <c r="AU100" i="47"/>
  <c r="AU99" i="47" s="1"/>
  <c r="P114" i="47"/>
  <c r="AU117" i="47"/>
  <c r="P140" i="47"/>
  <c r="AA206" i="47"/>
  <c r="AT278" i="47"/>
  <c r="Q57" i="47"/>
  <c r="Q56" i="47" s="1"/>
  <c r="AA57" i="47"/>
  <c r="AA56" i="47" s="1"/>
  <c r="AA55" i="47" s="1"/>
  <c r="AG117" i="47"/>
  <c r="AQ117" i="47" s="1"/>
  <c r="AY122" i="47"/>
  <c r="AW121" i="47"/>
  <c r="AY121" i="47" s="1"/>
  <c r="AT260" i="47"/>
  <c r="BC261" i="47"/>
  <c r="BD261" i="47" s="1"/>
  <c r="AN146" i="47"/>
  <c r="O9" i="47"/>
  <c r="O8" i="47" s="1"/>
  <c r="AR125" i="47"/>
  <c r="AR117" i="47" s="1"/>
  <c r="BA141" i="47"/>
  <c r="BB141" i="47" s="1"/>
  <c r="AL32" i="47"/>
  <c r="AL56" i="47"/>
  <c r="R36" i="47"/>
  <c r="R31" i="47" s="1"/>
  <c r="AY46" i="47"/>
  <c r="AX31" i="47"/>
  <c r="AY33" i="47" s="1"/>
  <c r="AQ49" i="47"/>
  <c r="AP56" i="47"/>
  <c r="AM56" i="47"/>
  <c r="AM55" i="47" s="1"/>
  <c r="BC57" i="47"/>
  <c r="BD57" i="47" s="1"/>
  <c r="Q69" i="47"/>
  <c r="AW69" i="47"/>
  <c r="AY69" i="47" s="1"/>
  <c r="P92" i="47"/>
  <c r="AV100" i="47"/>
  <c r="O105" i="47"/>
  <c r="P117" i="47"/>
  <c r="AV117" i="47"/>
  <c r="AT134" i="47"/>
  <c r="BC134" i="47" s="1"/>
  <c r="BD134" i="47" s="1"/>
  <c r="BC135" i="47"/>
  <c r="BD135" i="47" s="1"/>
  <c r="Q141" i="47"/>
  <c r="Q140" i="47" s="1"/>
  <c r="BC148" i="47"/>
  <c r="BD148" i="47" s="1"/>
  <c r="AO146" i="47"/>
  <c r="AY178" i="47"/>
  <c r="BC176" i="47"/>
  <c r="BD176" i="47" s="1"/>
  <c r="AW202" i="47"/>
  <c r="AY203" i="47"/>
  <c r="BA246" i="47"/>
  <c r="BB246" i="47" s="1"/>
  <c r="AH245" i="47"/>
  <c r="BA245" i="47" s="1"/>
  <c r="BB245" i="47" s="1"/>
  <c r="AA257" i="47"/>
  <c r="P9" i="47"/>
  <c r="P8" i="47" s="1"/>
  <c r="BA75" i="47"/>
  <c r="BB75" i="47" s="1"/>
  <c r="BD132" i="47"/>
  <c r="AA44" i="47"/>
  <c r="AL48" i="47"/>
  <c r="AR69" i="47"/>
  <c r="AA11" i="47"/>
  <c r="AY58" i="47"/>
  <c r="AA66" i="47"/>
  <c r="AA63" i="47" s="1"/>
  <c r="AV8" i="47"/>
  <c r="AV7" i="47" s="1"/>
  <c r="AQ25" i="47"/>
  <c r="AQ32" i="47"/>
  <c r="BA44" i="47"/>
  <c r="BB44" i="47" s="1"/>
  <c r="AH31" i="47"/>
  <c r="AT55" i="47"/>
  <c r="AN55" i="47"/>
  <c r="AG69" i="47"/>
  <c r="AL69" i="47" s="1"/>
  <c r="AX69" i="47"/>
  <c r="AY71" i="47" s="1"/>
  <c r="Q92" i="47"/>
  <c r="AW100" i="47"/>
  <c r="P105" i="47"/>
  <c r="P100" i="47" s="1"/>
  <c r="P99" i="47" s="1"/>
  <c r="AW117" i="47"/>
  <c r="AY117" i="47" s="1"/>
  <c r="AY118" i="47"/>
  <c r="AK147" i="47"/>
  <c r="AL148" i="47"/>
  <c r="AA213" i="47"/>
  <c r="AA212" i="47" s="1"/>
  <c r="AM218" i="47"/>
  <c r="BB10" i="47"/>
  <c r="BA9" i="47"/>
  <c r="AQ147" i="47"/>
  <c r="Q157" i="47"/>
  <c r="Q146" i="47" s="1"/>
  <c r="Q44" i="47"/>
  <c r="Q31" i="47" s="1"/>
  <c r="BA147" i="47"/>
  <c r="BB147" i="47" s="1"/>
  <c r="AH146" i="47"/>
  <c r="AR261" i="47"/>
  <c r="AR260" i="47" s="1"/>
  <c r="AY63" i="47"/>
  <c r="AA71" i="47"/>
  <c r="AA70" i="47" s="1"/>
  <c r="AA69" i="47" s="1"/>
  <c r="BC239" i="47"/>
  <c r="BD239" i="47" s="1"/>
  <c r="AI157" i="47"/>
  <c r="AI146" i="47" s="1"/>
  <c r="BA158" i="47"/>
  <c r="BB158" i="47" s="1"/>
  <c r="AR9" i="47"/>
  <c r="AR8" i="47" s="1"/>
  <c r="AW48" i="47"/>
  <c r="AY48" i="47" s="1"/>
  <c r="BC49" i="47"/>
  <c r="BD49" i="47" s="1"/>
  <c r="O56" i="47"/>
  <c r="AA79" i="47"/>
  <c r="AA78" i="47" s="1"/>
  <c r="AL101" i="47"/>
  <c r="AG100" i="47"/>
  <c r="AQ100" i="47" s="1"/>
  <c r="AX100" i="47"/>
  <c r="AY103" i="47"/>
  <c r="Q105" i="47"/>
  <c r="Q100" i="47" s="1"/>
  <c r="Q99" i="47" s="1"/>
  <c r="R105" i="47"/>
  <c r="R100" i="47" s="1"/>
  <c r="R99" i="47" s="1"/>
  <c r="AA114" i="47"/>
  <c r="AY120" i="47"/>
  <c r="AX117" i="47"/>
  <c r="AY119" i="47" s="1"/>
  <c r="AM150" i="47"/>
  <c r="BA181" i="47"/>
  <c r="BB181" i="47" s="1"/>
  <c r="AI178" i="47"/>
  <c r="BA178" i="47" s="1"/>
  <c r="BB178" i="47" s="1"/>
  <c r="AA229" i="47"/>
  <c r="R57" i="47"/>
  <c r="R56" i="47" s="1"/>
  <c r="O150" i="47"/>
  <c r="BC92" i="47"/>
  <c r="BD92" i="47" s="1"/>
  <c r="AK100" i="47"/>
  <c r="AQ105" i="47"/>
  <c r="AA116" i="47"/>
  <c r="BC127" i="47"/>
  <c r="BD127" i="47" s="1"/>
  <c r="P150" i="47"/>
  <c r="P146" i="47" s="1"/>
  <c r="AL157" i="47"/>
  <c r="O157" i="47"/>
  <c r="R178" i="47"/>
  <c r="BC200" i="47"/>
  <c r="BD200" i="47" s="1"/>
  <c r="AV190" i="47"/>
  <c r="AP229" i="47"/>
  <c r="AQ229" i="47" s="1"/>
  <c r="AQ230" i="47"/>
  <c r="AG239" i="47"/>
  <c r="AG211" i="47" s="1"/>
  <c r="AL240" i="47"/>
  <c r="AL271" i="47"/>
  <c r="AW211" i="47"/>
  <c r="AY212" i="47"/>
  <c r="P279" i="47"/>
  <c r="P278" i="47" s="1"/>
  <c r="AJ100" i="47"/>
  <c r="AJ99" i="47" s="1"/>
  <c r="AX211" i="47"/>
  <c r="AY213" i="47" s="1"/>
  <c r="AY214" i="47"/>
  <c r="AR36" i="47"/>
  <c r="AR31" i="47" s="1"/>
  <c r="AV78" i="47"/>
  <c r="AQ150" i="47"/>
  <c r="Q150" i="47"/>
  <c r="AL153" i="47"/>
  <c r="AG150" i="47"/>
  <c r="AX150" i="47"/>
  <c r="AY152" i="47" s="1"/>
  <c r="AY155" i="47"/>
  <c r="AA183" i="47"/>
  <c r="BA191" i="47"/>
  <c r="BB191" i="47" s="1"/>
  <c r="BA209" i="47"/>
  <c r="BB209" i="47" s="1"/>
  <c r="BA239" i="47"/>
  <c r="BB239" i="47" s="1"/>
  <c r="BA240" i="47"/>
  <c r="BB240" i="47" s="1"/>
  <c r="AY211" i="47"/>
  <c r="BC209" i="47"/>
  <c r="BD209" i="47" s="1"/>
  <c r="AR56" i="47"/>
  <c r="AU56" i="47"/>
  <c r="AG78" i="47"/>
  <c r="AL78" i="47" s="1"/>
  <c r="AW78" i="47"/>
  <c r="AY78" i="47" s="1"/>
  <c r="AS121" i="47"/>
  <c r="BC144" i="47"/>
  <c r="BD144" i="47" s="1"/>
  <c r="R150" i="47"/>
  <c r="R146" i="47" s="1"/>
  <c r="BA153" i="47"/>
  <c r="BB153" i="47" s="1"/>
  <c r="AH150" i="47"/>
  <c r="BA150" i="47" s="1"/>
  <c r="BB150" i="47" s="1"/>
  <c r="AO167" i="47"/>
  <c r="BC178" i="47"/>
  <c r="BD178" i="47" s="1"/>
  <c r="AA179" i="47"/>
  <c r="AA178" i="47" s="1"/>
  <c r="AA167" i="47" s="1"/>
  <c r="AY202" i="47"/>
  <c r="AX190" i="47"/>
  <c r="AY192" i="47" s="1"/>
  <c r="O203" i="47"/>
  <c r="O202" i="47" s="1"/>
  <c r="AR203" i="47"/>
  <c r="AR202" i="47" s="1"/>
  <c r="AQ245" i="47"/>
  <c r="AK31" i="47"/>
  <c r="AL31" i="47" s="1"/>
  <c r="AA47" i="47"/>
  <c r="AK278" i="47"/>
  <c r="AL278" i="47" s="1"/>
  <c r="Q25" i="47"/>
  <c r="AV56" i="47"/>
  <c r="AS55" i="47"/>
  <c r="BA73" i="47"/>
  <c r="BB73" i="47" s="1"/>
  <c r="AR111" i="47"/>
  <c r="AR100" i="47" s="1"/>
  <c r="AR99" i="47" s="1"/>
  <c r="BC122" i="47"/>
  <c r="BD122" i="47" s="1"/>
  <c r="AT121" i="47"/>
  <c r="BC121" i="47" s="1"/>
  <c r="BD121" i="47" s="1"/>
  <c r="R135" i="47"/>
  <c r="R134" i="47" s="1"/>
  <c r="BC147" i="47"/>
  <c r="BD147" i="47" s="1"/>
  <c r="BC191" i="47"/>
  <c r="BD191" i="47" s="1"/>
  <c r="AA196" i="47"/>
  <c r="AA191" i="47" s="1"/>
  <c r="AA190" i="47" s="1"/>
  <c r="AY200" i="47"/>
  <c r="BA202" i="47"/>
  <c r="BB202" i="47" s="1"/>
  <c r="AA205" i="47"/>
  <c r="AA203" i="47" s="1"/>
  <c r="AA202" i="47" s="1"/>
  <c r="BC270" i="47"/>
  <c r="BD270" i="47" s="1"/>
  <c r="AQ279" i="47"/>
  <c r="BC213" i="47"/>
  <c r="BD213" i="47" s="1"/>
  <c r="AT212" i="47"/>
  <c r="O117" i="47"/>
  <c r="AS117" i="47"/>
  <c r="AY143" i="47"/>
  <c r="AR150" i="47"/>
  <c r="AR146" i="47" s="1"/>
  <c r="AA150" i="47"/>
  <c r="BA212" i="47"/>
  <c r="BB212" i="47" s="1"/>
  <c r="O234" i="47"/>
  <c r="AX245" i="47"/>
  <c r="AY247" i="47" s="1"/>
  <c r="AY248" i="47"/>
  <c r="AM250" i="47"/>
  <c r="BC250" i="47" s="1"/>
  <c r="BD250" i="47" s="1"/>
  <c r="P251" i="47"/>
  <c r="P250" i="47" s="1"/>
  <c r="AA271" i="47"/>
  <c r="AA270" i="47" s="1"/>
  <c r="BA284" i="47"/>
  <c r="BB284" i="47" s="1"/>
  <c r="BA286" i="47"/>
  <c r="BB286" i="47" s="1"/>
  <c r="AQ135" i="47"/>
  <c r="AA136" i="47"/>
  <c r="AA135" i="47" s="1"/>
  <c r="AA134" i="47" s="1"/>
  <c r="AY165" i="47"/>
  <c r="BC163" i="47"/>
  <c r="BD163" i="47" s="1"/>
  <c r="AX157" i="47"/>
  <c r="AY159" i="47" s="1"/>
  <c r="AL203" i="47"/>
  <c r="O219" i="47"/>
  <c r="O218" i="47" s="1"/>
  <c r="AA222" i="47"/>
  <c r="AA219" i="47" s="1"/>
  <c r="AA218" i="47" s="1"/>
  <c r="BC240" i="47"/>
  <c r="BD240" i="47" s="1"/>
  <c r="R240" i="47"/>
  <c r="R239" i="47" s="1"/>
  <c r="AG245" i="47"/>
  <c r="AQ246" i="47"/>
  <c r="AP260" i="47"/>
  <c r="AQ260" i="47" s="1"/>
  <c r="AP140" i="47"/>
  <c r="AQ140" i="47" s="1"/>
  <c r="AQ141" i="47"/>
  <c r="BC165" i="47"/>
  <c r="BD165" i="47" s="1"/>
  <c r="AI167" i="47"/>
  <c r="AO211" i="47"/>
  <c r="AJ211" i="47"/>
  <c r="P234" i="47"/>
  <c r="BB261" i="47"/>
  <c r="Q278" i="47"/>
  <c r="R289" i="47"/>
  <c r="AI117" i="47"/>
  <c r="AI99" i="47" s="1"/>
  <c r="AM146" i="47"/>
  <c r="AT150" i="47"/>
  <c r="AU157" i="47"/>
  <c r="AH157" i="47"/>
  <c r="O168" i="47"/>
  <c r="AK212" i="47"/>
  <c r="AL213" i="47"/>
  <c r="AW218" i="47"/>
  <c r="AY218" i="47" s="1"/>
  <c r="Q234" i="47"/>
  <c r="R278" i="47"/>
  <c r="R211" i="47" s="1"/>
  <c r="AA289" i="47"/>
  <c r="AA286" i="47" s="1"/>
  <c r="BA118" i="47"/>
  <c r="BB118" i="47" s="1"/>
  <c r="AU150" i="47"/>
  <c r="AU146" i="47" s="1"/>
  <c r="BA163" i="47"/>
  <c r="BB163" i="47" s="1"/>
  <c r="AY167" i="47"/>
  <c r="P168" i="47"/>
  <c r="P167" i="47" s="1"/>
  <c r="Q230" i="47"/>
  <c r="R234" i="47"/>
  <c r="Q240" i="47"/>
  <c r="Q239" i="47" s="1"/>
  <c r="AP278" i="47"/>
  <c r="AQ278" i="47" s="1"/>
  <c r="AX278" i="47"/>
  <c r="AY280" i="47" s="1"/>
  <c r="AY284" i="47"/>
  <c r="AR286" i="47"/>
  <c r="BA92" i="47"/>
  <c r="BB92" i="47" s="1"/>
  <c r="AA105" i="47"/>
  <c r="AA100" i="47" s="1"/>
  <c r="AQ111" i="47"/>
  <c r="AL118" i="47"/>
  <c r="BA155" i="47"/>
  <c r="BB155" i="47" s="1"/>
  <c r="Q168" i="47"/>
  <c r="Q167" i="47" s="1"/>
  <c r="AR168" i="47"/>
  <c r="AR167" i="47" s="1"/>
  <c r="AQ203" i="47"/>
  <c r="AN211" i="47"/>
  <c r="O240" i="47"/>
  <c r="O239" i="47" s="1"/>
  <c r="R250" i="47"/>
  <c r="Q286" i="47"/>
  <c r="AY294" i="47"/>
  <c r="AY70" i="47"/>
  <c r="AY79" i="47"/>
  <c r="AM117" i="47"/>
  <c r="AM99" i="47" s="1"/>
  <c r="AW150" i="47"/>
  <c r="AW146" i="47" s="1"/>
  <c r="AY146" i="47" s="1"/>
  <c r="R168" i="47"/>
  <c r="R167" i="47" s="1"/>
  <c r="AK167" i="47"/>
  <c r="AL167" i="47" s="1"/>
  <c r="O229" i="47"/>
  <c r="P240" i="47"/>
  <c r="P239" i="47" s="1"/>
  <c r="Q250" i="47"/>
  <c r="AY289" i="47"/>
  <c r="AX286" i="47"/>
  <c r="AY288" i="47" s="1"/>
  <c r="O178" i="47"/>
  <c r="BC202" i="47"/>
  <c r="BD202" i="47" s="1"/>
  <c r="BC203" i="47"/>
  <c r="BD203" i="47" s="1"/>
  <c r="AA225" i="47"/>
  <c r="AL230" i="47"/>
  <c r="P230" i="47"/>
  <c r="BC246" i="47"/>
  <c r="BD246" i="47" s="1"/>
  <c r="AT245" i="47"/>
  <c r="BC245" i="47" s="1"/>
  <c r="BD245" i="47" s="1"/>
  <c r="O257" i="47"/>
  <c r="O250" i="47" s="1"/>
  <c r="O211" i="47" s="1"/>
  <c r="BA260" i="47"/>
  <c r="BB260" i="47" s="1"/>
  <c r="AY286" i="47"/>
  <c r="AY287" i="47"/>
  <c r="AV150" i="47"/>
  <c r="AV146" i="47" s="1"/>
  <c r="AQ163" i="47"/>
  <c r="R191" i="47"/>
  <c r="R190" i="47" s="1"/>
  <c r="AQ208" i="47"/>
  <c r="AL227" i="47"/>
  <c r="AR230" i="47"/>
  <c r="AR229" i="47" s="1"/>
  <c r="AR211" i="47" s="1"/>
  <c r="AX239" i="47"/>
  <c r="AY241" i="47" s="1"/>
  <c r="BA280" i="47"/>
  <c r="BB280" i="47" s="1"/>
  <c r="AH279" i="47"/>
  <c r="R288" i="47"/>
  <c r="R287" i="47" s="1"/>
  <c r="R286" i="47" s="1"/>
  <c r="O287" i="47"/>
  <c r="O286" i="47" s="1"/>
  <c r="AP157" i="47"/>
  <c r="P158" i="47"/>
  <c r="P157" i="47" s="1"/>
  <c r="AA240" i="47"/>
  <c r="AA239" i="47" s="1"/>
  <c r="AL245" i="47"/>
  <c r="AR271" i="47"/>
  <c r="AR270" i="47" s="1"/>
  <c r="AL282" i="47"/>
  <c r="P286" i="47"/>
  <c r="AQ158" i="47"/>
  <c r="AL176" i="47"/>
  <c r="AS218" i="47"/>
  <c r="AL260" i="47"/>
  <c r="BC279" i="47"/>
  <c r="BD279" i="47" s="1"/>
  <c r="AO286" i="47"/>
  <c r="AQ148" i="47"/>
  <c r="AY151" i="47"/>
  <c r="R158" i="47"/>
  <c r="R157" i="47" s="1"/>
  <c r="AT167" i="47"/>
  <c r="AT218" i="47"/>
  <c r="BC218" i="47" s="1"/>
  <c r="BD218" i="47" s="1"/>
  <c r="AI229" i="47"/>
  <c r="BA229" i="47" s="1"/>
  <c r="BB229" i="47" s="1"/>
  <c r="AR251" i="47"/>
  <c r="AR250" i="47" s="1"/>
  <c r="AL261" i="47"/>
  <c r="O261" i="47"/>
  <c r="O260" i="47" s="1"/>
  <c r="AP286" i="47"/>
  <c r="AQ286" i="47" s="1"/>
  <c r="AQ287" i="47"/>
  <c r="AY135" i="47"/>
  <c r="AU167" i="47"/>
  <c r="AZ211" i="47"/>
  <c r="AU218" i="47"/>
  <c r="AU211" i="47" s="1"/>
  <c r="AR240" i="47"/>
  <c r="AR239" i="47" s="1"/>
  <c r="AM260" i="47"/>
  <c r="AM211" i="47" s="1"/>
  <c r="AV278" i="47"/>
  <c r="AV211" i="47" s="1"/>
  <c r="AS286" i="47"/>
  <c r="AS211" i="47" s="1"/>
  <c r="AL161" i="47"/>
  <c r="AV167" i="47"/>
  <c r="AG190" i="47"/>
  <c r="AQ190" i="47" s="1"/>
  <c r="BA213" i="47"/>
  <c r="BB213" i="47" s="1"/>
  <c r="AY279" i="47"/>
  <c r="AW278" i="47"/>
  <c r="AY278" i="47" s="1"/>
  <c r="AT286" i="47"/>
  <c r="BC290" i="47"/>
  <c r="BD290" i="47" s="1"/>
  <c r="AP250" i="47"/>
  <c r="AQ250" i="47" s="1"/>
  <c r="AY170" i="47"/>
  <c r="AL246" i="47"/>
  <c r="AL294" i="47"/>
  <c r="BB294" i="47"/>
  <c r="BA203" i="47"/>
  <c r="BB203" i="47" s="1"/>
  <c r="AY219" i="47"/>
  <c r="AQ261" i="47"/>
  <c r="AQ271" i="47"/>
  <c r="BC294" i="47"/>
  <c r="AH167" i="47"/>
  <c r="AY221" i="47"/>
  <c r="AL279" i="47"/>
  <c r="AH218" i="47"/>
  <c r="BA218" i="47" s="1"/>
  <c r="BB218" i="47" s="1"/>
  <c r="AA99" i="47" l="1"/>
  <c r="AA146" i="47"/>
  <c r="AI296" i="47"/>
  <c r="BC167" i="47"/>
  <c r="BD167" i="47" s="1"/>
  <c r="AT146" i="47"/>
  <c r="AA117" i="47"/>
  <c r="AY7" i="47"/>
  <c r="AL100" i="47"/>
  <c r="AK99" i="47"/>
  <c r="AL99" i="47" s="1"/>
  <c r="BA279" i="47"/>
  <c r="BB279" i="47" s="1"/>
  <c r="AH278" i="47"/>
  <c r="O146" i="47"/>
  <c r="BC55" i="47"/>
  <c r="BD55" i="47" s="1"/>
  <c r="BC157" i="47"/>
  <c r="BD157" i="47" s="1"/>
  <c r="AP211" i="47"/>
  <c r="AQ211" i="47" s="1"/>
  <c r="BC140" i="47"/>
  <c r="BD140" i="47" s="1"/>
  <c r="BA31" i="47"/>
  <c r="BB31" i="47" s="1"/>
  <c r="BC212" i="47"/>
  <c r="BD212" i="47" s="1"/>
  <c r="AT211" i="47"/>
  <c r="R55" i="47"/>
  <c r="Q8" i="47"/>
  <c r="Q7" i="47" s="1"/>
  <c r="AH55" i="47"/>
  <c r="BA55" i="47" s="1"/>
  <c r="BB55" i="47" s="1"/>
  <c r="BA56" i="47"/>
  <c r="BB56" i="47" s="1"/>
  <c r="BC69" i="47"/>
  <c r="BD69" i="47" s="1"/>
  <c r="AQ239" i="47"/>
  <c r="AX7" i="47"/>
  <c r="AY10" i="47"/>
  <c r="AL239" i="47"/>
  <c r="AT99" i="47"/>
  <c r="BC100" i="47"/>
  <c r="BD100" i="47" s="1"/>
  <c r="BC278" i="47"/>
  <c r="BD278" i="47" s="1"/>
  <c r="AK211" i="47"/>
  <c r="AL211" i="47" s="1"/>
  <c r="AL212" i="47"/>
  <c r="BA8" i="47"/>
  <c r="BB9" i="47"/>
  <c r="O99" i="47"/>
  <c r="O167" i="47"/>
  <c r="BA157" i="47"/>
  <c r="BB157" i="47" s="1"/>
  <c r="AV55" i="47"/>
  <c r="AV296" i="47" s="1"/>
  <c r="BC56" i="47"/>
  <c r="BD56" i="47" s="1"/>
  <c r="BC229" i="47"/>
  <c r="BD229" i="47" s="1"/>
  <c r="AV99" i="47"/>
  <c r="AY150" i="47"/>
  <c r="P55" i="47"/>
  <c r="BA100" i="47"/>
  <c r="BB100" i="47" s="1"/>
  <c r="AH99" i="47"/>
  <c r="AW99" i="47"/>
  <c r="AY99" i="47" s="1"/>
  <c r="AY100" i="47"/>
  <c r="AQ157" i="47"/>
  <c r="AP146" i="47"/>
  <c r="AG99" i="47"/>
  <c r="P229" i="47"/>
  <c r="P211" i="47" s="1"/>
  <c r="O55" i="47"/>
  <c r="BC286" i="47"/>
  <c r="BD286" i="47" s="1"/>
  <c r="Q229" i="47"/>
  <c r="Q211" i="47" s="1"/>
  <c r="AR7" i="47"/>
  <c r="AR296" i="47" s="1"/>
  <c r="AA211" i="47"/>
  <c r="O7" i="47"/>
  <c r="O296" i="47" s="1"/>
  <c r="AX146" i="47"/>
  <c r="AY148" i="47" s="1"/>
  <c r="AY149" i="47"/>
  <c r="R7" i="47"/>
  <c r="R296" i="47" s="1"/>
  <c r="BD294" i="47"/>
  <c r="BC293" i="47"/>
  <c r="BD293" i="47" s="1"/>
  <c r="AP55" i="47"/>
  <c r="AQ55" i="47" s="1"/>
  <c r="AQ56" i="47"/>
  <c r="AX99" i="47"/>
  <c r="AY101" i="47" s="1"/>
  <c r="AY102" i="47"/>
  <c r="AX55" i="47"/>
  <c r="AY57" i="47" s="1"/>
  <c r="P7" i="47"/>
  <c r="P296" i="47" s="1"/>
  <c r="AG146" i="47"/>
  <c r="AG296" i="47" s="1"/>
  <c r="AQ8" i="47"/>
  <c r="AP7" i="47"/>
  <c r="BC150" i="47"/>
  <c r="BD150" i="47" s="1"/>
  <c r="AL190" i="47"/>
  <c r="AQ78" i="47"/>
  <c r="AA31" i="47"/>
  <c r="AA7" i="47" s="1"/>
  <c r="AA296" i="47" s="1"/>
  <c r="BD8" i="47"/>
  <c r="BC7" i="47"/>
  <c r="BD7" i="47" s="1"/>
  <c r="BC78" i="47"/>
  <c r="BD78" i="47" s="1"/>
  <c r="BC190" i="47"/>
  <c r="BD190" i="47" s="1"/>
  <c r="AT117" i="47"/>
  <c r="BC117" i="47" s="1"/>
  <c r="BD117" i="47" s="1"/>
  <c r="AN296" i="47"/>
  <c r="AU296" i="47"/>
  <c r="AH48" i="47"/>
  <c r="BA48" i="47" s="1"/>
  <c r="BB48" i="47" s="1"/>
  <c r="BA49" i="47"/>
  <c r="BB49" i="47" s="1"/>
  <c r="AK146" i="47"/>
  <c r="AL146" i="47" s="1"/>
  <c r="AL147" i="47"/>
  <c r="BC260" i="47"/>
  <c r="BD260" i="47" s="1"/>
  <c r="AP99" i="47"/>
  <c r="AQ99" i="47" s="1"/>
  <c r="AL117" i="47"/>
  <c r="AL7" i="47"/>
  <c r="BC31" i="47"/>
  <c r="BD31" i="47" s="1"/>
  <c r="AU55" i="47"/>
  <c r="BA167" i="47"/>
  <c r="BB167" i="47" s="1"/>
  <c r="AI211" i="47"/>
  <c r="AR55" i="47"/>
  <c r="Q78" i="47"/>
  <c r="Q55" i="47" s="1"/>
  <c r="AM296" i="47"/>
  <c r="AA49" i="47"/>
  <c r="AA48" i="47" s="1"/>
  <c r="AP296" i="47" l="1"/>
  <c r="AQ296" i="47" s="1"/>
  <c r="AQ7" i="47"/>
  <c r="AQ146" i="47"/>
  <c r="BC146" i="47"/>
  <c r="BD146" i="47" s="1"/>
  <c r="AY9" i="47"/>
  <c r="AX296" i="47"/>
  <c r="AW296" i="47"/>
  <c r="AY296" i="47" s="1"/>
  <c r="AH7" i="47"/>
  <c r="Q296" i="47"/>
  <c r="BA7" i="47"/>
  <c r="BB7" i="47" s="1"/>
  <c r="BB8" i="47"/>
  <c r="BC211" i="47"/>
  <c r="BD211" i="47" s="1"/>
  <c r="BA278" i="47"/>
  <c r="BB278" i="47" s="1"/>
  <c r="AH211" i="47"/>
  <c r="BA211" i="47" s="1"/>
  <c r="BB211" i="47" s="1"/>
  <c r="BA99" i="47"/>
  <c r="BB99" i="47" s="1"/>
  <c r="AK296" i="47"/>
  <c r="AL296" i="47" s="1"/>
  <c r="BA146" i="47"/>
  <c r="BB146" i="47" s="1"/>
  <c r="BC99" i="47"/>
  <c r="BD99" i="47" s="1"/>
  <c r="AT296" i="47"/>
  <c r="BC296" i="47" s="1"/>
  <c r="BD296" i="47" s="1"/>
  <c r="AH296" i="47" l="1"/>
  <c r="BA296" i="47" s="1"/>
  <c r="BB296" i="47" s="1"/>
  <c r="H22" i="16" l="1"/>
  <c r="F28" i="19" l="1"/>
  <c r="F18" i="19"/>
  <c r="F10" i="19"/>
  <c r="F27" i="28"/>
  <c r="E27" i="28"/>
  <c r="G21" i="28"/>
  <c r="F21" i="28"/>
  <c r="E21" i="28"/>
  <c r="D12" i="28"/>
  <c r="D11" i="28"/>
  <c r="F10" i="28"/>
  <c r="E4" i="28"/>
  <c r="A2" i="28"/>
  <c r="E81" i="27"/>
  <c r="G69" i="27"/>
  <c r="G68" i="27"/>
  <c r="F68" i="27"/>
  <c r="F69" i="27" s="1"/>
  <c r="E68" i="27"/>
  <c r="E69" i="27" s="1"/>
  <c r="H70" i="27" s="1"/>
  <c r="E74" i="27" s="1"/>
  <c r="H67" i="27"/>
  <c r="H66" i="27"/>
  <c r="F60" i="27"/>
  <c r="E60" i="27"/>
  <c r="L59" i="27"/>
  <c r="L60" i="27" s="1"/>
  <c r="K59" i="27"/>
  <c r="K60" i="27" s="1"/>
  <c r="J59" i="27"/>
  <c r="J60" i="27" s="1"/>
  <c r="I59" i="27"/>
  <c r="I60" i="27" s="1"/>
  <c r="H59" i="27"/>
  <c r="H60" i="27" s="1"/>
  <c r="G59" i="27"/>
  <c r="G60" i="27" s="1"/>
  <c r="F59" i="27"/>
  <c r="E59" i="27"/>
  <c r="G46" i="27"/>
  <c r="G47" i="27" s="1"/>
  <c r="F46" i="27"/>
  <c r="F47" i="27" s="1"/>
  <c r="E46" i="27"/>
  <c r="E47" i="27" s="1"/>
  <c r="H45" i="27"/>
  <c r="H44" i="27"/>
  <c r="H43" i="27"/>
  <c r="L38" i="27"/>
  <c r="K38" i="27"/>
  <c r="J38" i="27"/>
  <c r="L37" i="27"/>
  <c r="K37" i="27"/>
  <c r="J37" i="27"/>
  <c r="I37" i="27"/>
  <c r="I38" i="27" s="1"/>
  <c r="H37" i="27"/>
  <c r="H38" i="27" s="1"/>
  <c r="G37" i="27"/>
  <c r="G38" i="27" s="1"/>
  <c r="F37" i="27"/>
  <c r="F38" i="27" s="1"/>
  <c r="E37" i="27"/>
  <c r="E38" i="27" s="1"/>
  <c r="E24" i="27"/>
  <c r="E25" i="27" s="1"/>
  <c r="E79" i="27" s="1"/>
  <c r="E23" i="27"/>
  <c r="J20" i="27"/>
  <c r="I20" i="27"/>
  <c r="D12" i="27"/>
  <c r="D11" i="27"/>
  <c r="F10" i="27"/>
  <c r="D8" i="27"/>
  <c r="F30" i="19" s="1"/>
  <c r="E4" i="27"/>
  <c r="A2" i="27"/>
  <c r="H21" i="25"/>
  <c r="D8" i="25" s="1"/>
  <c r="G21" i="25"/>
  <c r="F21" i="25"/>
  <c r="I20" i="25"/>
  <c r="I19" i="25"/>
  <c r="E18" i="25"/>
  <c r="E21" i="25" s="1"/>
  <c r="D12" i="25"/>
  <c r="D11" i="25"/>
  <c r="F10" i="25"/>
  <c r="E4" i="25"/>
  <c r="A2" i="25"/>
  <c r="F117" i="24"/>
  <c r="D116" i="24"/>
  <c r="D115" i="24"/>
  <c r="D114" i="24"/>
  <c r="D113" i="24"/>
  <c r="G112" i="24"/>
  <c r="D112" i="24"/>
  <c r="I109" i="24"/>
  <c r="H109" i="24"/>
  <c r="E116" i="24" s="1"/>
  <c r="G109" i="24"/>
  <c r="F109" i="24"/>
  <c r="E109" i="24"/>
  <c r="I108" i="24"/>
  <c r="I107" i="24"/>
  <c r="H96" i="24"/>
  <c r="G96" i="24"/>
  <c r="F96" i="24"/>
  <c r="E96" i="24"/>
  <c r="I95" i="24"/>
  <c r="I96" i="24" s="1"/>
  <c r="I94" i="24"/>
  <c r="H89" i="24"/>
  <c r="E115" i="24" s="1"/>
  <c r="G89" i="24"/>
  <c r="F89" i="24"/>
  <c r="E89" i="24"/>
  <c r="I88" i="24"/>
  <c r="I89" i="24" s="1"/>
  <c r="I87" i="24"/>
  <c r="H71" i="24"/>
  <c r="E114" i="24" s="1"/>
  <c r="G71" i="24"/>
  <c r="F71" i="24"/>
  <c r="E71" i="24"/>
  <c r="I70" i="24"/>
  <c r="I69" i="24"/>
  <c r="H57" i="24"/>
  <c r="G57" i="24"/>
  <c r="F57" i="24"/>
  <c r="E57" i="24"/>
  <c r="I56" i="24"/>
  <c r="I57" i="24" s="1"/>
  <c r="I55" i="24"/>
  <c r="H50" i="24"/>
  <c r="E113" i="24" s="1"/>
  <c r="G50" i="24"/>
  <c r="F50" i="24"/>
  <c r="E50" i="24"/>
  <c r="I49" i="24"/>
  <c r="I50" i="24" s="1"/>
  <c r="I48" i="24"/>
  <c r="H36" i="24"/>
  <c r="G36" i="24"/>
  <c r="F36" i="24"/>
  <c r="E36" i="24"/>
  <c r="H24" i="24"/>
  <c r="G24" i="24"/>
  <c r="F24" i="24"/>
  <c r="E24" i="24"/>
  <c r="I23" i="24"/>
  <c r="I22" i="24"/>
  <c r="I24" i="24" s="1"/>
  <c r="D12" i="24"/>
  <c r="D11" i="24"/>
  <c r="F10" i="24"/>
  <c r="E4" i="24"/>
  <c r="A2" i="24"/>
  <c r="F57" i="23"/>
  <c r="D56" i="23"/>
  <c r="D55" i="23"/>
  <c r="D54" i="23"/>
  <c r="D53" i="23"/>
  <c r="D52" i="23"/>
  <c r="H49" i="23"/>
  <c r="G49" i="23"/>
  <c r="F49" i="23"/>
  <c r="I48" i="23"/>
  <c r="E47" i="23"/>
  <c r="I47" i="23" s="1"/>
  <c r="H42" i="23"/>
  <c r="G42" i="23"/>
  <c r="F42" i="23"/>
  <c r="I41" i="23"/>
  <c r="E40" i="23"/>
  <c r="I40" i="23" s="1"/>
  <c r="I42" i="23" s="1"/>
  <c r="H35" i="23"/>
  <c r="G35" i="23"/>
  <c r="F35" i="23"/>
  <c r="I34" i="23"/>
  <c r="E33" i="23"/>
  <c r="E35" i="23" s="1"/>
  <c r="E54" i="23" s="1"/>
  <c r="G54" i="23" s="1"/>
  <c r="H28" i="23"/>
  <c r="G28" i="23"/>
  <c r="F28" i="23"/>
  <c r="I27" i="23"/>
  <c r="E26" i="23"/>
  <c r="I26" i="23" s="1"/>
  <c r="I28" i="23" s="1"/>
  <c r="H21" i="23"/>
  <c r="G21" i="23"/>
  <c r="F21" i="23"/>
  <c r="E21" i="23"/>
  <c r="E52" i="23" s="1"/>
  <c r="I20" i="23"/>
  <c r="I19" i="23"/>
  <c r="I21" i="23" s="1"/>
  <c r="D12" i="23"/>
  <c r="D11" i="23"/>
  <c r="F10" i="23"/>
  <c r="E4" i="23"/>
  <c r="A2" i="23"/>
  <c r="H22" i="5"/>
  <c r="G22" i="5"/>
  <c r="F22" i="5"/>
  <c r="E22" i="5"/>
  <c r="D12" i="5"/>
  <c r="D11" i="5"/>
  <c r="F10" i="5"/>
  <c r="E4" i="5"/>
  <c r="A2" i="5"/>
  <c r="E30" i="28" l="1"/>
  <c r="D8" i="28" s="1"/>
  <c r="F31" i="19" s="1"/>
  <c r="I49" i="23"/>
  <c r="G116" i="24"/>
  <c r="G115" i="24"/>
  <c r="G117" i="24" s="1"/>
  <c r="D8" i="24" s="1"/>
  <c r="F27" i="19" s="1"/>
  <c r="I71" i="24"/>
  <c r="G114" i="24"/>
  <c r="G113" i="24"/>
  <c r="H47" i="27"/>
  <c r="H48" i="27" s="1"/>
  <c r="E73" i="27" s="1"/>
  <c r="E75" i="27" s="1"/>
  <c r="E80" i="27" s="1"/>
  <c r="I18" i="25"/>
  <c r="I21" i="25" s="1"/>
  <c r="G52" i="23"/>
  <c r="E49" i="23"/>
  <c r="E56" i="23" s="1"/>
  <c r="G56" i="23" s="1"/>
  <c r="E28" i="23"/>
  <c r="E53" i="23" s="1"/>
  <c r="G53" i="23" s="1"/>
  <c r="E42" i="23"/>
  <c r="E55" i="23" s="1"/>
  <c r="G55" i="23" s="1"/>
  <c r="I33" i="23"/>
  <c r="I35" i="23" s="1"/>
  <c r="E57" i="23" l="1"/>
  <c r="G57" i="23"/>
  <c r="D8" i="23" s="1"/>
  <c r="F26" i="19" s="1"/>
  <c r="F36" i="22" l="1"/>
  <c r="I17" i="22"/>
  <c r="D8" i="12"/>
  <c r="F16" i="19" s="1"/>
  <c r="R32" i="19" l="1"/>
  <c r="R31" i="19"/>
  <c r="R30" i="19"/>
  <c r="R29" i="19"/>
  <c r="R28" i="19"/>
  <c r="R27" i="19"/>
  <c r="R26" i="19"/>
  <c r="R25" i="19"/>
  <c r="R24" i="19"/>
  <c r="R23" i="19"/>
  <c r="R22" i="19"/>
  <c r="R21" i="19"/>
  <c r="R20" i="19"/>
  <c r="R19" i="19"/>
  <c r="R18" i="19"/>
  <c r="R17" i="19"/>
  <c r="R16" i="19"/>
  <c r="R15" i="19"/>
  <c r="R14" i="19"/>
  <c r="R13" i="19"/>
  <c r="R12" i="19"/>
  <c r="R11" i="19"/>
  <c r="R10" i="19"/>
  <c r="R9" i="19"/>
  <c r="R8" i="19"/>
  <c r="R7" i="19"/>
  <c r="R6" i="19"/>
  <c r="F59" i="29"/>
  <c r="K39" i="21"/>
  <c r="I23" i="17"/>
  <c r="I24" i="17"/>
  <c r="E31" i="19" l="1"/>
  <c r="E27" i="19" l="1"/>
  <c r="E26" i="19"/>
  <c r="D82" i="29" l="1"/>
  <c r="G74" i="29" l="1"/>
  <c r="G75" i="29"/>
  <c r="G76" i="29"/>
  <c r="G77" i="29"/>
  <c r="G78" i="29"/>
  <c r="G79" i="29"/>
  <c r="G80" i="29"/>
  <c r="G81" i="29"/>
  <c r="G57" i="29"/>
  <c r="G58" i="29"/>
  <c r="G59" i="29"/>
  <c r="G60" i="29"/>
  <c r="G61" i="29"/>
  <c r="G62" i="29"/>
  <c r="G63" i="29"/>
  <c r="G64" i="29"/>
  <c r="G65" i="29"/>
  <c r="G66" i="29"/>
  <c r="G67" i="29"/>
  <c r="G69" i="29"/>
  <c r="G70" i="29"/>
  <c r="G71" i="29"/>
  <c r="G72" i="29"/>
  <c r="G73" i="29"/>
  <c r="F76" i="29"/>
  <c r="F77" i="29"/>
  <c r="F78" i="29"/>
  <c r="F79" i="29"/>
  <c r="F80" i="29"/>
  <c r="F81" i="29"/>
  <c r="F57" i="29"/>
  <c r="F58" i="29"/>
  <c r="F60" i="29"/>
  <c r="F61" i="29"/>
  <c r="F62" i="29"/>
  <c r="F63" i="29"/>
  <c r="F64" i="29"/>
  <c r="F65" i="29"/>
  <c r="F66" i="29"/>
  <c r="F67" i="29"/>
  <c r="F69" i="29"/>
  <c r="F70" i="29"/>
  <c r="F71" i="29"/>
  <c r="F72" i="29"/>
  <c r="F73" i="29"/>
  <c r="F74" i="29"/>
  <c r="F75" i="29"/>
  <c r="E81" i="29"/>
  <c r="E80" i="29"/>
  <c r="J50" i="29" l="1"/>
  <c r="H50" i="29"/>
  <c r="I19" i="29"/>
  <c r="K33" i="13" l="1"/>
  <c r="H33" i="13"/>
  <c r="I33" i="13"/>
  <c r="J33" i="13"/>
  <c r="E76" i="29" l="1"/>
  <c r="E77" i="29"/>
  <c r="E78" i="29"/>
  <c r="E79" i="29"/>
  <c r="E69" i="29"/>
  <c r="E70" i="29"/>
  <c r="E71" i="29"/>
  <c r="E72" i="29"/>
  <c r="E73" i="29"/>
  <c r="E74" i="29"/>
  <c r="E58" i="29"/>
  <c r="E59" i="29"/>
  <c r="E60" i="29"/>
  <c r="E61" i="29"/>
  <c r="E62" i="29"/>
  <c r="E64" i="29"/>
  <c r="E66" i="29"/>
  <c r="E67" i="29"/>
  <c r="E68" i="29"/>
  <c r="E4" i="29"/>
  <c r="A2" i="29"/>
  <c r="E4" i="26"/>
  <c r="A2" i="26"/>
  <c r="A2" i="22"/>
  <c r="E4" i="22"/>
  <c r="A2" i="1" l="1"/>
  <c r="A2" i="2"/>
  <c r="A2" i="3"/>
  <c r="A2" i="4"/>
  <c r="A2" i="6"/>
  <c r="A2" i="8"/>
  <c r="A2" i="9"/>
  <c r="A2" i="10"/>
  <c r="A2" i="11"/>
  <c r="A2" i="12"/>
  <c r="A2" i="13"/>
  <c r="A2" i="14"/>
  <c r="A2" i="15"/>
  <c r="A2" i="16"/>
  <c r="A2" i="17"/>
  <c r="A2" i="18"/>
  <c r="A2" i="20"/>
  <c r="A2" i="21"/>
  <c r="E4" i="21"/>
  <c r="E4" i="20" l="1"/>
  <c r="E4" i="18"/>
  <c r="E4" i="17"/>
  <c r="H20" i="19"/>
  <c r="E4" i="16"/>
  <c r="E4" i="15"/>
  <c r="E4" i="14"/>
  <c r="E4" i="13" l="1"/>
  <c r="H13" i="19"/>
  <c r="H14" i="19"/>
  <c r="H15" i="19"/>
  <c r="H16" i="19"/>
  <c r="E4" i="12"/>
  <c r="E16" i="19"/>
  <c r="E4" i="11"/>
  <c r="E4" i="10"/>
  <c r="E4" i="9"/>
  <c r="E4" i="6"/>
  <c r="E4" i="8"/>
  <c r="E4" i="4"/>
  <c r="E4" i="3"/>
  <c r="I9" i="19"/>
  <c r="P9" i="19" s="1"/>
  <c r="H9" i="19"/>
  <c r="E4" i="2"/>
  <c r="E4" i="1" l="1"/>
  <c r="H6" i="19" l="1"/>
  <c r="D4" i="19"/>
  <c r="A2" i="19"/>
  <c r="K7" i="36" l="1"/>
  <c r="F10" i="16" l="1"/>
  <c r="E39" i="20" l="1"/>
  <c r="F39" i="20"/>
  <c r="E34" i="22"/>
  <c r="E35" i="22"/>
  <c r="E36" i="22"/>
  <c r="E37" i="22"/>
  <c r="E38" i="22"/>
  <c r="E39" i="22"/>
  <c r="D11" i="22"/>
  <c r="J11" i="19"/>
  <c r="M11" i="19" s="1"/>
  <c r="J10" i="19"/>
  <c r="M10" i="19" s="1"/>
  <c r="J9" i="19"/>
  <c r="M9" i="19" s="1"/>
  <c r="J8" i="19"/>
  <c r="M8" i="19" s="1"/>
  <c r="J7" i="19"/>
  <c r="M7" i="19" s="1"/>
  <c r="J6" i="19"/>
  <c r="M6" i="19" s="1"/>
  <c r="Q6" i="19" s="1"/>
  <c r="J32" i="19"/>
  <c r="M32" i="19" s="1"/>
  <c r="Q32" i="19" s="1"/>
  <c r="J31" i="19"/>
  <c r="M31" i="19" s="1"/>
  <c r="J30" i="19"/>
  <c r="M30" i="19" s="1"/>
  <c r="J29" i="19"/>
  <c r="M29" i="19" s="1"/>
  <c r="J28" i="19"/>
  <c r="M28" i="19" s="1"/>
  <c r="J27" i="19"/>
  <c r="M27" i="19" s="1"/>
  <c r="J26" i="19"/>
  <c r="M26" i="19" s="1"/>
  <c r="J25" i="19"/>
  <c r="M25" i="19" s="1"/>
  <c r="J24" i="19"/>
  <c r="M24" i="19" s="1"/>
  <c r="J23" i="19"/>
  <c r="M23" i="19" s="1"/>
  <c r="J22" i="19"/>
  <c r="M22" i="19" s="1"/>
  <c r="J21" i="19"/>
  <c r="M21" i="19" s="1"/>
  <c r="J20" i="19"/>
  <c r="M20" i="19" s="1"/>
  <c r="J19" i="19"/>
  <c r="M19" i="19" s="1"/>
  <c r="J18" i="19"/>
  <c r="M18" i="19" s="1"/>
  <c r="J17" i="19"/>
  <c r="M17" i="19" s="1"/>
  <c r="J16" i="19"/>
  <c r="M16" i="19" s="1"/>
  <c r="J15" i="19"/>
  <c r="M15" i="19" s="1"/>
  <c r="J14" i="19"/>
  <c r="M14" i="19" s="1"/>
  <c r="J13" i="19"/>
  <c r="M13" i="19" s="1"/>
  <c r="J12" i="19"/>
  <c r="M12" i="19" s="1"/>
  <c r="I32" i="19"/>
  <c r="I31" i="19"/>
  <c r="I30" i="19"/>
  <c r="I29" i="19"/>
  <c r="I28" i="19"/>
  <c r="I27" i="19"/>
  <c r="I26" i="19"/>
  <c r="I25" i="19"/>
  <c r="I24" i="19"/>
  <c r="I23" i="19"/>
  <c r="I22" i="19"/>
  <c r="I21" i="19"/>
  <c r="I20" i="19"/>
  <c r="I19" i="19"/>
  <c r="I18" i="19"/>
  <c r="I17" i="19"/>
  <c r="I16" i="19"/>
  <c r="I15" i="19"/>
  <c r="I14" i="19"/>
  <c r="I13" i="19"/>
  <c r="I12" i="19"/>
  <c r="I11" i="19"/>
  <c r="I10" i="19"/>
  <c r="L9" i="19"/>
  <c r="I8" i="19"/>
  <c r="I7" i="19"/>
  <c r="D12" i="3"/>
  <c r="D11" i="3"/>
  <c r="F10" i="3"/>
  <c r="H8" i="19" s="1"/>
  <c r="D12" i="4"/>
  <c r="D11" i="4"/>
  <c r="F10" i="4"/>
  <c r="H10" i="19"/>
  <c r="D12" i="6"/>
  <c r="D11" i="6"/>
  <c r="F10" i="6"/>
  <c r="H11" i="19" s="1"/>
  <c r="D12" i="8"/>
  <c r="D11" i="8"/>
  <c r="F10" i="8"/>
  <c r="H12" i="19" s="1"/>
  <c r="D12" i="9"/>
  <c r="D11" i="9"/>
  <c r="F10" i="9"/>
  <c r="D13" i="10"/>
  <c r="D12" i="10"/>
  <c r="F11" i="10"/>
  <c r="D12" i="11"/>
  <c r="D11" i="11"/>
  <c r="F10" i="11"/>
  <c r="D12" i="12"/>
  <c r="D11" i="12"/>
  <c r="F10" i="12"/>
  <c r="D12" i="13"/>
  <c r="D11" i="13"/>
  <c r="F10" i="13"/>
  <c r="H17" i="19" s="1"/>
  <c r="D12" i="14"/>
  <c r="D11" i="14"/>
  <c r="F10" i="14"/>
  <c r="H18" i="19" s="1"/>
  <c r="D12" i="15"/>
  <c r="D11" i="15"/>
  <c r="F10" i="15"/>
  <c r="H19" i="19" s="1"/>
  <c r="D12" i="16"/>
  <c r="D11" i="16"/>
  <c r="D12" i="17"/>
  <c r="D11" i="17"/>
  <c r="F10" i="17"/>
  <c r="H21" i="19" s="1"/>
  <c r="D12" i="18"/>
  <c r="D11" i="18"/>
  <c r="F10" i="18"/>
  <c r="H22" i="19" s="1"/>
  <c r="D12" i="20"/>
  <c r="D11" i="20"/>
  <c r="F10" i="20"/>
  <c r="H23" i="19" s="1"/>
  <c r="D12" i="21"/>
  <c r="D11" i="21"/>
  <c r="F10" i="21"/>
  <c r="H24" i="19" s="1"/>
  <c r="D12" i="22"/>
  <c r="F10" i="22"/>
  <c r="H25" i="19" s="1"/>
  <c r="H26" i="19"/>
  <c r="D11" i="26"/>
  <c r="D10" i="26"/>
  <c r="F9" i="26"/>
  <c r="H29" i="19" s="1"/>
  <c r="H30" i="19"/>
  <c r="H31" i="19"/>
  <c r="D12" i="29"/>
  <c r="D11" i="29"/>
  <c r="F10" i="29"/>
  <c r="H32" i="19" s="1"/>
  <c r="D12" i="2"/>
  <c r="D11" i="2"/>
  <c r="F10" i="2"/>
  <c r="H7" i="19" s="1"/>
  <c r="I6" i="19"/>
  <c r="D12" i="1"/>
  <c r="D11" i="1"/>
  <c r="D29" i="33"/>
  <c r="D26" i="33"/>
  <c r="D20" i="33"/>
  <c r="H27" i="17" s="1"/>
  <c r="I22" i="17"/>
  <c r="D8" i="16"/>
  <c r="F20" i="19" s="1"/>
  <c r="G22" i="16"/>
  <c r="F21" i="16"/>
  <c r="F22" i="16" s="1"/>
  <c r="E21" i="16"/>
  <c r="E22" i="16" s="1"/>
  <c r="C20" i="19" s="1"/>
  <c r="Q21" i="14"/>
  <c r="Q20" i="14"/>
  <c r="Q19" i="14"/>
  <c r="L45" i="12"/>
  <c r="M27" i="12"/>
  <c r="N17" i="12"/>
  <c r="N18" i="12" s="1"/>
  <c r="N19" i="12" s="1"/>
  <c r="N20" i="12" s="1"/>
  <c r="N21" i="12" s="1"/>
  <c r="M22" i="12"/>
  <c r="M46" i="12"/>
  <c r="M33" i="12" s="1"/>
  <c r="K28" i="12"/>
  <c r="K43" i="12" s="1"/>
  <c r="K27" i="12"/>
  <c r="K42" i="12" s="1"/>
  <c r="K26" i="12"/>
  <c r="K41" i="12" s="1"/>
  <c r="K29" i="12"/>
  <c r="K44" i="12" s="1"/>
  <c r="M29" i="12"/>
  <c r="M28" i="12"/>
  <c r="M26" i="12"/>
  <c r="E20" i="12"/>
  <c r="G15" i="33" s="1"/>
  <c r="H30" i="12" s="1"/>
  <c r="E69" i="10"/>
  <c r="H58" i="10"/>
  <c r="G58" i="10"/>
  <c r="F58" i="10"/>
  <c r="E58" i="10"/>
  <c r="E46" i="10"/>
  <c r="E35" i="10"/>
  <c r="J18" i="11"/>
  <c r="H69" i="10"/>
  <c r="G69" i="10"/>
  <c r="F69" i="10"/>
  <c r="H85" i="10"/>
  <c r="D9" i="10" s="1"/>
  <c r="G84" i="10"/>
  <c r="F83" i="10"/>
  <c r="F84" i="10"/>
  <c r="H46" i="10"/>
  <c r="G46" i="10"/>
  <c r="F46" i="10"/>
  <c r="E84" i="10"/>
  <c r="E83" i="10"/>
  <c r="H35" i="10"/>
  <c r="G35" i="10"/>
  <c r="F35" i="10"/>
  <c r="F24" i="10"/>
  <c r="E24" i="10"/>
  <c r="E43" i="1"/>
  <c r="E52" i="1" s="1"/>
  <c r="G52" i="1"/>
  <c r="H52" i="1"/>
  <c r="I52" i="1"/>
  <c r="J52" i="1"/>
  <c r="G53" i="1"/>
  <c r="H53" i="1"/>
  <c r="J53" i="1"/>
  <c r="G54" i="1"/>
  <c r="H54" i="1"/>
  <c r="I54" i="1"/>
  <c r="E46" i="1"/>
  <c r="D43" i="1"/>
  <c r="D52" i="1" s="1"/>
  <c r="F43" i="1"/>
  <c r="F52" i="1"/>
  <c r="D44" i="1"/>
  <c r="D53" i="1" s="1"/>
  <c r="E44" i="1"/>
  <c r="E53" i="1" s="1"/>
  <c r="F44" i="1"/>
  <c r="F53" i="1" s="1"/>
  <c r="D45" i="1"/>
  <c r="D54" i="1" s="1"/>
  <c r="E45" i="1"/>
  <c r="E54" i="1" s="1"/>
  <c r="F45" i="1"/>
  <c r="F54" i="1" s="1"/>
  <c r="D46" i="1"/>
  <c r="F46" i="1"/>
  <c r="D51" i="1"/>
  <c r="F44" i="20"/>
  <c r="F43" i="20"/>
  <c r="F42" i="20"/>
  <c r="F41" i="20"/>
  <c r="F40" i="20"/>
  <c r="E43" i="20"/>
  <c r="E42" i="20"/>
  <c r="E41" i="20"/>
  <c r="E40" i="20"/>
  <c r="E44" i="20"/>
  <c r="E20" i="20"/>
  <c r="I18" i="20"/>
  <c r="G46" i="21"/>
  <c r="H46" i="21"/>
  <c r="I46" i="21"/>
  <c r="F34" i="22"/>
  <c r="G56" i="29"/>
  <c r="G39" i="22"/>
  <c r="G38" i="22"/>
  <c r="G37" i="22"/>
  <c r="G36" i="22"/>
  <c r="G35" i="22"/>
  <c r="G34" i="22"/>
  <c r="F39" i="22"/>
  <c r="F38" i="22"/>
  <c r="F37" i="22"/>
  <c r="F35" i="22"/>
  <c r="F56" i="29"/>
  <c r="C28" i="19"/>
  <c r="E56" i="29"/>
  <c r="E82" i="29" s="1"/>
  <c r="J38" i="21"/>
  <c r="H20" i="20"/>
  <c r="D8" i="20" s="1"/>
  <c r="F23" i="19" s="1"/>
  <c r="G20" i="20"/>
  <c r="F20" i="20"/>
  <c r="H22" i="18"/>
  <c r="D8" i="18" s="1"/>
  <c r="F22" i="19" s="1"/>
  <c r="G22" i="18"/>
  <c r="F22" i="18"/>
  <c r="E22" i="18"/>
  <c r="I21" i="15"/>
  <c r="H21" i="15"/>
  <c r="F21" i="15"/>
  <c r="E21" i="15"/>
  <c r="P22" i="14"/>
  <c r="O22" i="14"/>
  <c r="N22" i="14"/>
  <c r="M22" i="14"/>
  <c r="L22" i="14"/>
  <c r="K22" i="14"/>
  <c r="J22" i="14"/>
  <c r="I22" i="14"/>
  <c r="H22" i="14"/>
  <c r="G22" i="14"/>
  <c r="F22" i="14"/>
  <c r="E22" i="14"/>
  <c r="E20" i="13"/>
  <c r="F20" i="13"/>
  <c r="I20" i="11"/>
  <c r="H20" i="11"/>
  <c r="G20" i="11"/>
  <c r="D15" i="19" s="1"/>
  <c r="F20" i="11"/>
  <c r="C15" i="19" s="1"/>
  <c r="D8" i="11"/>
  <c r="E20" i="11"/>
  <c r="H19" i="9"/>
  <c r="D8" i="9" s="1"/>
  <c r="F13" i="19" s="1"/>
  <c r="G19" i="9"/>
  <c r="F19" i="9"/>
  <c r="D13" i="19" s="1"/>
  <c r="E19" i="9"/>
  <c r="C13" i="19" s="1"/>
  <c r="H19" i="8"/>
  <c r="D8" i="8" s="1"/>
  <c r="F12" i="19" s="1"/>
  <c r="G19" i="8"/>
  <c r="F19" i="8"/>
  <c r="E19" i="8"/>
  <c r="C12" i="19" s="1"/>
  <c r="H23" i="4"/>
  <c r="D8" i="4" s="1"/>
  <c r="G23" i="4"/>
  <c r="F23" i="4"/>
  <c r="E23" i="4"/>
  <c r="C9" i="19" s="1"/>
  <c r="H22" i="3"/>
  <c r="D8" i="3" s="1"/>
  <c r="F8" i="19" s="1"/>
  <c r="G22" i="3"/>
  <c r="F22" i="3"/>
  <c r="E22" i="3"/>
  <c r="H23" i="2"/>
  <c r="D8" i="2" s="1"/>
  <c r="G23" i="2"/>
  <c r="F23" i="2"/>
  <c r="E23" i="2"/>
  <c r="I52" i="10"/>
  <c r="D24" i="33"/>
  <c r="D40" i="22" s="1"/>
  <c r="D23" i="33"/>
  <c r="H32" i="21" s="1"/>
  <c r="D22" i="33"/>
  <c r="D45" i="20" s="1"/>
  <c r="D5" i="33"/>
  <c r="D61" i="1" s="1"/>
  <c r="D31" i="33"/>
  <c r="E24" i="6"/>
  <c r="H26" i="6"/>
  <c r="G26" i="6"/>
  <c r="G24" i="6"/>
  <c r="G25" i="6"/>
  <c r="F26" i="6"/>
  <c r="H25" i="6"/>
  <c r="F25" i="6"/>
  <c r="H24" i="6"/>
  <c r="F24" i="6"/>
  <c r="E25" i="6"/>
  <c r="E26" i="6"/>
  <c r="J51" i="1"/>
  <c r="I51" i="1"/>
  <c r="H51" i="1"/>
  <c r="G51" i="1"/>
  <c r="F51" i="1"/>
  <c r="H17" i="26"/>
  <c r="D7" i="26" s="1"/>
  <c r="G17" i="26"/>
  <c r="F17" i="26"/>
  <c r="E17" i="26"/>
  <c r="C29" i="19" s="1"/>
  <c r="J28" i="22"/>
  <c r="K45" i="21"/>
  <c r="J45" i="21"/>
  <c r="K43" i="21"/>
  <c r="J43" i="21"/>
  <c r="K42" i="21"/>
  <c r="J42" i="21"/>
  <c r="K41" i="21"/>
  <c r="J41" i="21"/>
  <c r="K40" i="21"/>
  <c r="J40" i="21"/>
  <c r="K38" i="21"/>
  <c r="I30" i="21"/>
  <c r="G33" i="20"/>
  <c r="I26" i="17"/>
  <c r="J20" i="15"/>
  <c r="J19" i="15"/>
  <c r="J18" i="15"/>
  <c r="G20" i="15"/>
  <c r="G19" i="15"/>
  <c r="G18" i="15"/>
  <c r="G19" i="13"/>
  <c r="G18" i="13"/>
  <c r="G17" i="13"/>
  <c r="I22" i="4"/>
  <c r="I21" i="4"/>
  <c r="E51" i="1"/>
  <c r="I36" i="6"/>
  <c r="H36" i="6"/>
  <c r="G36" i="6"/>
  <c r="F36" i="6"/>
  <c r="J26" i="9"/>
  <c r="I26" i="9"/>
  <c r="H26" i="9"/>
  <c r="G26" i="9"/>
  <c r="F26" i="9"/>
  <c r="G23" i="10"/>
  <c r="G22" i="10"/>
  <c r="G21" i="10"/>
  <c r="G20" i="10"/>
  <c r="G19" i="10"/>
  <c r="K33" i="14"/>
  <c r="J33" i="14"/>
  <c r="I33" i="14"/>
  <c r="H33" i="14"/>
  <c r="K30" i="15"/>
  <c r="J30" i="15"/>
  <c r="H30" i="15"/>
  <c r="I30" i="15"/>
  <c r="F29" i="16"/>
  <c r="J29" i="16"/>
  <c r="I29" i="16"/>
  <c r="H29" i="16"/>
  <c r="G29" i="16"/>
  <c r="J33" i="20"/>
  <c r="I33" i="20"/>
  <c r="H33" i="20"/>
  <c r="K28" i="22"/>
  <c r="I28" i="22"/>
  <c r="I19" i="22"/>
  <c r="H28" i="22"/>
  <c r="I18" i="22"/>
  <c r="I18" i="29"/>
  <c r="I18" i="21"/>
  <c r="I19" i="20"/>
  <c r="I21" i="18"/>
  <c r="I20" i="18"/>
  <c r="I18" i="17"/>
  <c r="J19" i="11"/>
  <c r="I63" i="10"/>
  <c r="I40" i="10"/>
  <c r="I29" i="10"/>
  <c r="I22" i="2"/>
  <c r="I21" i="2"/>
  <c r="E14" i="19" l="1"/>
  <c r="F14" i="19"/>
  <c r="E29" i="19"/>
  <c r="F29" i="19"/>
  <c r="E15" i="19"/>
  <c r="F15" i="19"/>
  <c r="I20" i="20"/>
  <c r="E24" i="33"/>
  <c r="I23" i="4"/>
  <c r="E23" i="19"/>
  <c r="E22" i="19"/>
  <c r="E13" i="19"/>
  <c r="L10" i="19"/>
  <c r="P10" i="19" s="1"/>
  <c r="L18" i="19"/>
  <c r="P18" i="19" s="1"/>
  <c r="L26" i="19"/>
  <c r="P26" i="19" s="1"/>
  <c r="L24" i="19"/>
  <c r="P24" i="19"/>
  <c r="L17" i="19"/>
  <c r="P17" i="19" s="1"/>
  <c r="L19" i="19"/>
  <c r="P19" i="19" s="1"/>
  <c r="L27" i="19"/>
  <c r="P27" i="19" s="1"/>
  <c r="L16" i="19"/>
  <c r="P16" i="19"/>
  <c r="L6" i="19"/>
  <c r="P6" i="19" s="1"/>
  <c r="L12" i="19"/>
  <c r="P12" i="19" s="1"/>
  <c r="L20" i="19"/>
  <c r="P20" i="19"/>
  <c r="L28" i="19"/>
  <c r="P28" i="19" s="1"/>
  <c r="L25" i="19"/>
  <c r="P25" i="19" s="1"/>
  <c r="L11" i="19"/>
  <c r="P11" i="19" s="1"/>
  <c r="L13" i="19"/>
  <c r="P13" i="19"/>
  <c r="L21" i="19"/>
  <c r="P21" i="19" s="1"/>
  <c r="L29" i="19"/>
  <c r="P29" i="19" s="1"/>
  <c r="L8" i="19"/>
  <c r="P8" i="19" s="1"/>
  <c r="L14" i="19"/>
  <c r="P14" i="19" s="1"/>
  <c r="L22" i="19"/>
  <c r="P22" i="19" s="1"/>
  <c r="L30" i="19"/>
  <c r="P30" i="19" s="1"/>
  <c r="L32" i="19"/>
  <c r="P32" i="19"/>
  <c r="L7" i="19"/>
  <c r="P7" i="19" s="1"/>
  <c r="L15" i="19"/>
  <c r="P15" i="19"/>
  <c r="L23" i="19"/>
  <c r="P23" i="19" s="1"/>
  <c r="L31" i="19"/>
  <c r="P31" i="19" s="1"/>
  <c r="E40" i="22"/>
  <c r="H27" i="6"/>
  <c r="D8" i="6" s="1"/>
  <c r="F11" i="19" s="1"/>
  <c r="J20" i="11"/>
  <c r="E7" i="19"/>
  <c r="D7" i="19"/>
  <c r="E8" i="19"/>
  <c r="D8" i="19"/>
  <c r="J46" i="21"/>
  <c r="E12" i="19"/>
  <c r="D12" i="19"/>
  <c r="K12" i="19" s="1"/>
  <c r="E10" i="19"/>
  <c r="D10" i="19"/>
  <c r="K10" i="19" s="1"/>
  <c r="F27" i="6"/>
  <c r="Q22" i="14"/>
  <c r="E18" i="19" s="1"/>
  <c r="M30" i="12"/>
  <c r="M34" i="12" s="1"/>
  <c r="C16" i="19" s="1"/>
  <c r="J21" i="15"/>
  <c r="D8" i="29"/>
  <c r="H27" i="19"/>
  <c r="H28" i="19"/>
  <c r="I22" i="18"/>
  <c r="K18" i="15"/>
  <c r="F85" i="10"/>
  <c r="D14" i="19" s="1"/>
  <c r="K14" i="19" s="1"/>
  <c r="K8" i="19"/>
  <c r="C8" i="19"/>
  <c r="K20" i="15"/>
  <c r="G21" i="15"/>
  <c r="F24" i="33"/>
  <c r="G40" i="22" s="1"/>
  <c r="F40" i="22"/>
  <c r="D8" i="22" s="1"/>
  <c r="K46" i="21"/>
  <c r="F45" i="20"/>
  <c r="K23" i="19"/>
  <c r="C23" i="19"/>
  <c r="K22" i="19"/>
  <c r="C22" i="19"/>
  <c r="E20" i="33"/>
  <c r="I27" i="17" s="1"/>
  <c r="D8" i="17" s="1"/>
  <c r="K19" i="15"/>
  <c r="G20" i="13"/>
  <c r="D8" i="13" s="1"/>
  <c r="F17" i="19" s="1"/>
  <c r="F15" i="33"/>
  <c r="G30" i="12" s="1"/>
  <c r="E15" i="33"/>
  <c r="F30" i="12" s="1"/>
  <c r="D15" i="33"/>
  <c r="E30" i="12" s="1"/>
  <c r="I84" i="10"/>
  <c r="E85" i="10"/>
  <c r="C14" i="19" s="1"/>
  <c r="C10" i="19"/>
  <c r="D9" i="19"/>
  <c r="K9" i="19" s="1"/>
  <c r="I23" i="2"/>
  <c r="K7" i="19"/>
  <c r="C7" i="19"/>
  <c r="K15" i="19"/>
  <c r="K16" i="19"/>
  <c r="K18" i="19"/>
  <c r="K29" i="19"/>
  <c r="K13" i="19"/>
  <c r="I58" i="1"/>
  <c r="G59" i="1"/>
  <c r="G58" i="1"/>
  <c r="I59" i="1"/>
  <c r="G60" i="1"/>
  <c r="J58" i="1"/>
  <c r="E27" i="6"/>
  <c r="G27" i="6"/>
  <c r="E23" i="33"/>
  <c r="I32" i="21" s="1"/>
  <c r="D8" i="21" s="1"/>
  <c r="F24" i="19" s="1"/>
  <c r="H59" i="1"/>
  <c r="J59" i="1"/>
  <c r="J60" i="1"/>
  <c r="H60" i="1"/>
  <c r="I60" i="1"/>
  <c r="K20" i="19"/>
  <c r="G85" i="10"/>
  <c r="I83" i="10"/>
  <c r="H58" i="1"/>
  <c r="E45" i="20"/>
  <c r="G24" i="10"/>
  <c r="M45" i="12"/>
  <c r="M32" i="12" s="1"/>
  <c r="I15" i="33"/>
  <c r="I25" i="12" s="1"/>
  <c r="M31" i="12" s="1"/>
  <c r="E25" i="19" l="1"/>
  <c r="F25" i="19"/>
  <c r="E21" i="19"/>
  <c r="F21" i="19"/>
  <c r="E32" i="19"/>
  <c r="F32" i="19"/>
  <c r="K26" i="19"/>
  <c r="K24" i="19"/>
  <c r="E24" i="19"/>
  <c r="K27" i="19"/>
  <c r="K32" i="19"/>
  <c r="K17" i="19"/>
  <c r="E17" i="19"/>
  <c r="K25" i="19"/>
  <c r="K31" i="19"/>
  <c r="E11" i="19"/>
  <c r="D11" i="19"/>
  <c r="K11" i="19" s="1"/>
  <c r="I85" i="10"/>
  <c r="E29" i="33"/>
  <c r="E30" i="19" s="1"/>
  <c r="K21" i="15"/>
  <c r="D8" i="15" s="1"/>
  <c r="F19" i="19" s="1"/>
  <c r="C11" i="19"/>
  <c r="K28" i="19"/>
  <c r="K21" i="19"/>
  <c r="F5" i="33"/>
  <c r="H61" i="1" s="1"/>
  <c r="H5" i="33"/>
  <c r="J61" i="1" s="1"/>
  <c r="E5" i="33"/>
  <c r="G61" i="1" s="1"/>
  <c r="G5" i="33"/>
  <c r="I61" i="1" s="1"/>
  <c r="K19" i="19" l="1"/>
  <c r="E19" i="19"/>
  <c r="K30" i="19"/>
  <c r="E6" i="19"/>
  <c r="C6" i="19"/>
  <c r="D6" i="19" l="1"/>
  <c r="K6" i="19" s="1"/>
  <c r="G50" i="29" l="1"/>
  <c r="I50" i="29"/>
  <c r="G82" i="29" s="1"/>
  <c r="G68" i="29"/>
  <c r="F68" i="29"/>
  <c r="F82"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
    <author>alirio rodriguez isidro</author>
  </authors>
  <commentList>
    <comment ref="BE4" authorId="0" shapeId="0" xr:uid="{16B57B1A-8424-42F1-9030-15468E7EFB89}">
      <text>
        <r>
          <rPr>
            <b/>
            <sz val="9"/>
            <color indexed="81"/>
            <rFont val="Tahoma"/>
            <family val="2"/>
          </rPr>
          <t>Usuario:</t>
        </r>
        <r>
          <rPr>
            <sz val="9"/>
            <color indexed="81"/>
            <rFont val="Tahoma"/>
            <family val="2"/>
          </rPr>
          <t xml:space="preserve">
El indicador seleccionado es coherente con la actividad. Esta articulación fue aprobada por la instancia correspondiente?</t>
        </r>
      </text>
    </comment>
    <comment ref="BH5" authorId="0" shapeId="0" xr:uid="{676A5F25-5EAF-4F14-973E-05343CFD9F9B}">
      <text>
        <r>
          <rPr>
            <b/>
            <sz val="9"/>
            <color indexed="81"/>
            <rFont val="Tahoma"/>
            <family val="2"/>
          </rPr>
          <t>Usuario:</t>
        </r>
        <r>
          <rPr>
            <sz val="9"/>
            <color indexed="81"/>
            <rFont val="Tahoma"/>
            <family val="2"/>
          </rPr>
          <t xml:space="preserve">
El indicador seleccionado es coherente con la actividad. Esta articulación fue aprobada por la instancia correspondiente?</t>
        </r>
      </text>
    </comment>
    <comment ref="AS7" authorId="0" shapeId="0" xr:uid="{96D7EABD-1FE9-48BD-83A5-FD4A068F1828}">
      <text>
        <r>
          <rPr>
            <b/>
            <sz val="9"/>
            <color indexed="81"/>
            <rFont val="Tahoma"/>
            <family val="2"/>
          </rPr>
          <t>Usuario:</t>
        </r>
        <r>
          <rPr>
            <sz val="9"/>
            <color indexed="81"/>
            <rFont val="Tahoma"/>
            <family val="2"/>
          </rPr>
          <t xml:space="preserve">
revisar, no coincide con dato de informe 2020 debido a diferencia en proyecto 1.2.2.</t>
        </r>
      </text>
    </comment>
    <comment ref="L10" authorId="0" shapeId="0" xr:uid="{CFAE5B08-EB18-485D-BB32-A8E3BA879AD7}">
      <text>
        <r>
          <rPr>
            <b/>
            <sz val="9"/>
            <color indexed="81"/>
            <rFont val="Tahoma"/>
            <family val="2"/>
          </rPr>
          <t>Usuario:</t>
        </r>
        <r>
          <rPr>
            <sz val="9"/>
            <color indexed="81"/>
            <rFont val="Tahoma"/>
            <family val="2"/>
          </rPr>
          <t xml:space="preserve">
Reporte 2022</t>
        </r>
      </text>
    </comment>
    <comment ref="BH10" authorId="1" shapeId="0" xr:uid="{24F52BDD-CE4B-4672-905D-AFDF6FD0A53E}">
      <text>
        <r>
          <rPr>
            <sz val="11"/>
            <color theme="1"/>
            <rFont val="Arial"/>
            <family val="2"/>
          </rPr>
          <t xml:space="preserve">En Anexo 19 del PAI tenian asociado el indicador ODS: Porcentaje del cambio en la extensión de los ecosistemas relacionados con el agua a lo largo del tiempo. No obstante creo que el aporte se hace más hacia: Grado de aplicación de la ordenación integrada de los recursos hídricos (0-100)
</t>
        </r>
      </text>
    </comment>
    <comment ref="Z11" authorId="2" shapeId="0" xr:uid="{99CD428A-546D-4C36-88F5-F8A853C7A330}">
      <text>
        <r>
          <rPr>
            <sz val="9"/>
            <color indexed="81"/>
            <rFont val="Tahoma"/>
            <family val="2"/>
          </rPr>
          <t xml:space="preserve">Para la ejecución de esta acción estratégica, se desarrollaron acciones durante la vigencia 2020 y 2021, que permitió lograr un avance del 98% de la meta programada.
</t>
        </r>
      </text>
    </comment>
    <comment ref="BH12" authorId="1" shapeId="0" xr:uid="{D7A6A0A3-E217-476A-9D44-61E56A5C8574}">
      <text>
        <r>
          <rPr>
            <sz val="11"/>
            <color theme="1"/>
            <rFont val="Arial"/>
            <family val="2"/>
          </rPr>
          <t xml:space="preserve">En Anexo 19 del PAI tenian asociado el indicador ODS: Porcentaje del cambio en la extensión de los ecosistemas relacionados con el agua a lo largo del tiempo. No obstante creo que el aporte se hace más hacia: Grado de aplicación de la ordenación integrada de los recursos hídricos (0-100)
</t>
        </r>
      </text>
    </comment>
    <comment ref="BH15" authorId="1" shapeId="0" xr:uid="{49DA5009-C443-44AB-852A-59C1A989274D}">
      <text>
        <r>
          <rPr>
            <sz val="11"/>
            <color theme="1"/>
            <rFont val="Arial"/>
            <family val="2"/>
          </rPr>
          <t xml:space="preserve">En Anexo 19 del PAI tenian asociado el indicador ODS: Porcentaje del cambio en la extensión de los ecosistemas relacionados con el agua a lo largo del tiempo. No obstante creo que el aporte se hace más hacia: Grado de aplicación de la ordenación integrada de los recursos hídricos (0-100)
</t>
        </r>
      </text>
    </comment>
    <comment ref="BH18" authorId="1" shapeId="0" xr:uid="{3DDA6BFF-37C8-43A0-A44F-72F5FC7C2233}">
      <text>
        <r>
          <rPr>
            <sz val="11"/>
            <color theme="1"/>
            <rFont val="Arial"/>
            <family val="2"/>
          </rPr>
          <t xml:space="preserve">En Anexo 19 del PAI tenian asociado el indicador ODS: Porcentaje del cambio en la extensión de los ecosistemas relacionados con el agua a lo largo del tiempo. No obstante creo que el aporte se hace más hacia:  Nivel de estrés hídrico: extracción de agua dulce como proporción de los recursos de agua dulce disponibles
</t>
        </r>
      </text>
    </comment>
    <comment ref="BH19" authorId="1" shapeId="0" xr:uid="{64821DA9-0389-4F7A-AFEE-0CC641F30CF5}">
      <text>
        <r>
          <rPr>
            <sz val="11"/>
            <color theme="1"/>
            <rFont val="Arial"/>
            <family val="2"/>
          </rPr>
          <t xml:space="preserve">En Anexo 19 del PAI tenian asociado el indicador ODS: Porcentaje del cambio en la extensión de los ecosistemas relacionados con el agua a lo largo del tiempo. No obstante creo que el aporte se hace más hacia: Grado de aplicación de la ordenación integrada de los recursos hídricos (0-100)
</t>
        </r>
      </text>
    </comment>
    <comment ref="BH20" authorId="1" shapeId="0" xr:uid="{9A88FF69-1809-45E1-8D51-F78FDA69A460}">
      <text>
        <r>
          <rPr>
            <sz val="11"/>
            <color theme="1"/>
            <rFont val="Arial"/>
            <family val="2"/>
          </rPr>
          <t xml:space="preserve">En Anexo 19 del PAI tenian asociado el indicador ODS: Porcentaje del cambio en la extensión de los ecosistemas relacionados con el agua a lo largo del tiempo. No obstante creo que el aporte se hace más hacia: Grado de aplicación de la ordenación integrada de los recursos hídricos (0-100)
</t>
        </r>
      </text>
    </comment>
    <comment ref="BH21" authorId="1" shapeId="0" xr:uid="{EDABF9C6-BACF-4B19-A576-144E7FE77418}">
      <text>
        <r>
          <rPr>
            <sz val="11"/>
            <color theme="1"/>
            <rFont val="Arial"/>
            <family val="2"/>
          </rPr>
          <t xml:space="preserve">En Anexo 19 del PAI tenian asociado el indicador ODS: Porcentaje del cambio en la extensión de los ecosistemas relacionados con el agua a lo largo del tiempo. No obstante creo que el aporte se hace más hacia: Grado de aplicación de la ordenación integrada de los recursos hídricos (0-100)
</t>
        </r>
      </text>
    </comment>
    <comment ref="S26" authorId="0" shapeId="0" xr:uid="{BD2ED023-D5CF-4FCF-9429-60C98A7CB198}">
      <text>
        <r>
          <rPr>
            <b/>
            <sz val="9"/>
            <color indexed="81"/>
            <rFont val="Tahoma"/>
            <family val="2"/>
          </rPr>
          <t>Usuario:</t>
        </r>
        <r>
          <rPr>
            <sz val="9"/>
            <color indexed="81"/>
            <rFont val="Tahoma"/>
            <family val="2"/>
          </rPr>
          <t xml:space="preserve">
Revisar respecto al avance.</t>
        </r>
      </text>
    </comment>
    <comment ref="BH30" authorId="1" shapeId="0" xr:uid="{A211CFE2-CA3A-42A4-9119-3FCD2FF8CE17}">
      <text>
        <r>
          <rPr>
            <sz val="11"/>
            <color theme="1"/>
            <rFont val="Arial"/>
            <family val="2"/>
          </rPr>
          <t xml:space="preserve">En Anexo 19 del PAI tenian asociado el indicador ODS: Porcentaje del cambio en la extensión de los ecosistemas relacionados con el agua a lo largo del tiempo. No obstante creo que el aporte se hace más hacia el que aqui se indica
</t>
        </r>
      </text>
    </comment>
    <comment ref="BH35" authorId="1" shapeId="0" xr:uid="{7C771B09-0FAF-48CA-8BAD-AEC1F9646403}">
      <text>
        <r>
          <rPr>
            <sz val="11"/>
            <color theme="1"/>
            <rFont val="Arial"/>
            <family val="2"/>
          </rPr>
          <t xml:space="preserve">Esta actividad no la tienen articulada a ningún ODS pero la meta podría estar asociada al indicador 144
</t>
        </r>
      </text>
    </comment>
    <comment ref="AS36" authorId="0" shapeId="0" xr:uid="{C782B6DE-1C82-458D-B80C-B952AB441829}">
      <text>
        <r>
          <rPr>
            <b/>
            <sz val="9"/>
            <color indexed="81"/>
            <rFont val="Tahoma"/>
            <family val="2"/>
          </rPr>
          <t>Usuario:</t>
        </r>
        <r>
          <rPr>
            <sz val="9"/>
            <color indexed="81"/>
            <rFont val="Tahoma"/>
            <family val="2"/>
          </rPr>
          <t xml:space="preserve">
En reporte 2020 se registra para este proyecto $829.142.980</t>
        </r>
      </text>
    </comment>
    <comment ref="BB36" authorId="0" shapeId="0" xr:uid="{83340CBC-4A07-40A3-B6B1-0E40CBABBE7D}">
      <text>
        <r>
          <rPr>
            <b/>
            <sz val="9"/>
            <color indexed="81"/>
            <rFont val="Tahoma"/>
            <family val="2"/>
          </rPr>
          <t>Usuario:</t>
        </r>
        <r>
          <rPr>
            <sz val="9"/>
            <color indexed="81"/>
            <rFont val="Tahoma"/>
            <family val="2"/>
          </rPr>
          <t xml:space="preserve">
Ajustado a formato porcentaje</t>
        </r>
      </text>
    </comment>
    <comment ref="AS37" authorId="0" shapeId="0" xr:uid="{E2B352D2-1464-4705-8CAF-A05A1E7E2BE3}">
      <text>
        <r>
          <rPr>
            <b/>
            <sz val="9"/>
            <color indexed="81"/>
            <rFont val="Tahoma"/>
            <family val="2"/>
          </rPr>
          <t>Usuario:</t>
        </r>
        <r>
          <rPr>
            <sz val="9"/>
            <color indexed="81"/>
            <rFont val="Tahoma"/>
            <family val="2"/>
          </rPr>
          <t xml:space="preserve">
En informe 2020 tienen registrado 17.750.000</t>
        </r>
      </text>
    </comment>
    <comment ref="BH37" authorId="1" shapeId="0" xr:uid="{CA3514F5-353A-4629-BD81-0B3FE53DB757}">
      <text>
        <r>
          <rPr>
            <sz val="11"/>
            <color theme="1"/>
            <rFont val="Arial"/>
            <family val="2"/>
          </rPr>
          <t xml:space="preserve">Lo articulan con la meta: Aumentar considerablemente el uso eficiente de los recursos hídricos en todos los sectores al 2030
</t>
        </r>
      </text>
    </comment>
    <comment ref="AS38" authorId="0" shapeId="0" xr:uid="{EE71F9E2-A86C-4CC2-848E-6026BA26B5FF}">
      <text>
        <r>
          <rPr>
            <b/>
            <sz val="9"/>
            <color indexed="81"/>
            <rFont val="Tahoma"/>
            <family val="2"/>
          </rPr>
          <t>Usuario:</t>
        </r>
        <r>
          <rPr>
            <sz val="9"/>
            <color indexed="81"/>
            <rFont val="Tahoma"/>
            <family val="2"/>
          </rPr>
          <t xml:space="preserve">
No corresponde con lo reportado en 2020</t>
        </r>
      </text>
    </comment>
    <comment ref="BH38" authorId="1" shapeId="0" xr:uid="{38FADFFD-5BE5-48AF-A021-EBD966D62461}">
      <text>
        <r>
          <rPr>
            <sz val="11"/>
            <color theme="1"/>
            <rFont val="Arial"/>
            <family val="2"/>
          </rPr>
          <t xml:space="preserve">Estas actividades no las encontre articuladas a ODS en el Anexo 19
</t>
        </r>
      </text>
    </comment>
    <comment ref="AQ44" authorId="0" shapeId="0" xr:uid="{D88786CC-28A0-4849-BE4B-236A786E9599}">
      <text>
        <r>
          <rPr>
            <b/>
            <sz val="9"/>
            <color indexed="81"/>
            <rFont val="Tahoma"/>
            <family val="2"/>
          </rPr>
          <t>Usuario:</t>
        </r>
        <r>
          <rPr>
            <sz val="9"/>
            <color indexed="81"/>
            <rFont val="Tahoma"/>
            <family val="2"/>
          </rPr>
          <t xml:space="preserve">
se ajusto formato a %</t>
        </r>
      </text>
    </comment>
    <comment ref="AZ46" authorId="0" shapeId="0" xr:uid="{B4A73EBA-903C-4A74-B0C9-5FA1E61DF916}">
      <text>
        <r>
          <rPr>
            <b/>
            <sz val="9"/>
            <color indexed="81"/>
            <rFont val="Tahoma"/>
            <family val="2"/>
          </rPr>
          <t>Usuario:</t>
        </r>
        <r>
          <rPr>
            <sz val="9"/>
            <color indexed="81"/>
            <rFont val="Tahoma"/>
            <family val="2"/>
          </rPr>
          <t xml:space="preserve">
revisar</t>
        </r>
      </text>
    </comment>
    <comment ref="BH50" authorId="1" shapeId="0" xr:uid="{6C72CEF9-7529-4D2B-BE36-B5B9CF2F462A}">
      <text>
        <r>
          <rPr>
            <sz val="11"/>
            <color theme="1"/>
            <rFont val="Arial"/>
            <family val="2"/>
          </rPr>
          <t xml:space="preserve">Es el indicadores asociado a la meta del ODS con el que se articulo
</t>
        </r>
      </text>
    </comment>
    <comment ref="BH51" authorId="1" shapeId="0" xr:uid="{CE34420F-59C1-4C55-A549-8395A73D3CD1}">
      <text>
        <r>
          <rPr>
            <sz val="11"/>
            <color theme="1"/>
            <rFont val="Arial"/>
            <family val="2"/>
          </rPr>
          <t xml:space="preserve">Es el indicadores asociado a la meta del ODS con el que se articulo
</t>
        </r>
      </text>
    </comment>
    <comment ref="BH52" authorId="1" shapeId="0" xr:uid="{650D7E94-7D2D-4EB1-AE2D-8DB6ABFE0895}">
      <text>
        <r>
          <rPr>
            <sz val="11"/>
            <color theme="1"/>
            <rFont val="Arial"/>
            <family val="2"/>
          </rPr>
          <t xml:space="preserve">Es el indicadores asociado a la meta del ODS con el que se articulo
</t>
        </r>
      </text>
    </comment>
    <comment ref="BH53" authorId="1" shapeId="0" xr:uid="{6D2B2DA0-1D0A-4CE7-93E4-1C5CF2F9481B}">
      <text>
        <r>
          <rPr>
            <sz val="11"/>
            <color theme="1"/>
            <rFont val="Arial"/>
            <family val="2"/>
          </rPr>
          <t xml:space="preserve">Es el indicadores asociado a la meta del ODS con el que se articulo
</t>
        </r>
      </text>
    </comment>
    <comment ref="AS55" authorId="0" shapeId="0" xr:uid="{81C5479B-2793-4F9D-90FC-78346D04C240}">
      <text>
        <r>
          <rPr>
            <b/>
            <sz val="9"/>
            <color indexed="81"/>
            <rFont val="Tahoma"/>
            <family val="2"/>
          </rPr>
          <t>Usuario:</t>
        </r>
        <r>
          <rPr>
            <sz val="9"/>
            <color indexed="81"/>
            <rFont val="Tahoma"/>
            <family val="2"/>
          </rPr>
          <t xml:space="preserve">
Informe 2020: $1.574.061.216. Difiere por proyecto 2.1.1.</t>
        </r>
      </text>
    </comment>
    <comment ref="AS57" authorId="0" shapeId="0" xr:uid="{9D26E24A-980E-47AF-9837-37572E3EE725}">
      <text>
        <r>
          <rPr>
            <b/>
            <sz val="9"/>
            <color indexed="81"/>
            <rFont val="Tahoma"/>
            <family val="2"/>
          </rPr>
          <t>Usuario:</t>
        </r>
        <r>
          <rPr>
            <sz val="9"/>
            <color indexed="81"/>
            <rFont val="Tahoma"/>
            <family val="2"/>
          </rPr>
          <t xml:space="preserve">
Informe 2020: 65.662.916</t>
        </r>
      </text>
    </comment>
    <comment ref="S58" authorId="0" shapeId="0" xr:uid="{094F7C23-342C-40AF-8389-E5B3EE304D0A}">
      <text>
        <r>
          <rPr>
            <b/>
            <sz val="9"/>
            <color indexed="81"/>
            <rFont val="Tahoma"/>
            <family val="2"/>
          </rPr>
          <t>Usuario:</t>
        </r>
        <r>
          <rPr>
            <sz val="9"/>
            <color indexed="81"/>
            <rFont val="Tahoma"/>
            <family val="2"/>
          </rPr>
          <t xml:space="preserve">
Revisar frente a lo que sse reporta</t>
        </r>
      </text>
    </comment>
    <comment ref="AQ59" authorId="0" shapeId="0" xr:uid="{D9422857-5592-440F-87CE-87C3A266301C}">
      <text>
        <r>
          <rPr>
            <b/>
            <sz val="9"/>
            <color indexed="81"/>
            <rFont val="Tahoma"/>
            <family val="2"/>
          </rPr>
          <t>Usuario:</t>
        </r>
        <r>
          <rPr>
            <sz val="9"/>
            <color indexed="81"/>
            <rFont val="Tahoma"/>
            <family val="2"/>
          </rPr>
          <t xml:space="preserve">
se ajusto formato a %</t>
        </r>
      </text>
    </comment>
    <comment ref="AH61" authorId="0" shapeId="0" xr:uid="{3421F8A7-94E1-4CF1-9B91-86AE0C2E76B8}">
      <text>
        <r>
          <rPr>
            <b/>
            <sz val="9"/>
            <color indexed="81"/>
            <rFont val="Tahoma"/>
            <family val="2"/>
          </rPr>
          <t>Usuario:</t>
        </r>
        <r>
          <rPr>
            <sz val="9"/>
            <color indexed="81"/>
            <rFont val="Tahoma"/>
            <family val="2"/>
          </rPr>
          <t xml:space="preserve">
No hay meta</t>
        </r>
      </text>
    </comment>
    <comment ref="AM61" authorId="0" shapeId="0" xr:uid="{127CF07B-BF28-426A-A898-3E7584603C71}">
      <text>
        <r>
          <rPr>
            <b/>
            <sz val="9"/>
            <color indexed="81"/>
            <rFont val="Tahoma"/>
            <family val="2"/>
          </rPr>
          <t>Usuario:</t>
        </r>
        <r>
          <rPr>
            <sz val="9"/>
            <color indexed="81"/>
            <rFont val="Tahoma"/>
            <family val="2"/>
          </rPr>
          <t xml:space="preserve">
No hay meta</t>
        </r>
      </text>
    </comment>
    <comment ref="AQ61" authorId="0" shapeId="0" xr:uid="{CCCD0C0E-08E8-4867-B6CF-13A76E34AE44}">
      <text>
        <r>
          <rPr>
            <b/>
            <sz val="9"/>
            <color indexed="81"/>
            <rFont val="Tahoma"/>
            <family val="2"/>
          </rPr>
          <t>Usuario:</t>
        </r>
        <r>
          <rPr>
            <sz val="9"/>
            <color indexed="81"/>
            <rFont val="Tahoma"/>
            <family val="2"/>
          </rPr>
          <t xml:space="preserve">
se ajusto formato a %</t>
        </r>
      </text>
    </comment>
    <comment ref="AS61" authorId="0" shapeId="0" xr:uid="{3A65B3B3-4C09-4360-BA9F-1EE810F2C6E9}">
      <text>
        <r>
          <rPr>
            <b/>
            <sz val="9"/>
            <color indexed="81"/>
            <rFont val="Tahoma"/>
            <family val="2"/>
          </rPr>
          <t>Usuario:</t>
        </r>
        <r>
          <rPr>
            <sz val="9"/>
            <color indexed="81"/>
            <rFont val="Tahoma"/>
            <family val="2"/>
          </rPr>
          <t xml:space="preserve">
No hay meta y en informe 2020 registran: 65.662.916</t>
        </r>
      </text>
    </comment>
    <comment ref="BH64" authorId="1" shapeId="0" xr:uid="{9958E470-2336-4C89-A0AF-1E38418E7E39}">
      <text>
        <r>
          <rPr>
            <sz val="11"/>
            <color theme="1"/>
            <rFont val="Arial"/>
            <family val="2"/>
          </rPr>
          <t xml:space="preserve">En PAI lo asocian a indicador 15 pero no un indicador especifico, este le aplica.
</t>
        </r>
      </text>
    </comment>
    <comment ref="BH65" authorId="1" shapeId="0" xr:uid="{B794912E-26C0-48BE-9C1D-958AC3F0A536}">
      <text>
        <r>
          <rPr>
            <sz val="11"/>
            <color theme="1"/>
            <rFont val="Arial"/>
            <family val="2"/>
          </rPr>
          <t xml:space="preserve">En PAI lo asocian a indicador 15 pero no un indicador especifico, este le aplica.
</t>
        </r>
      </text>
    </comment>
    <comment ref="AS66" authorId="0" shapeId="0" xr:uid="{685613CB-43BE-4B8C-BFB5-4154E1ABBE0B}">
      <text>
        <r>
          <rPr>
            <b/>
            <sz val="9"/>
            <color indexed="81"/>
            <rFont val="Tahoma"/>
            <family val="2"/>
          </rPr>
          <t>Usuario:</t>
        </r>
        <r>
          <rPr>
            <sz val="9"/>
            <color indexed="81"/>
            <rFont val="Tahoma"/>
            <family val="2"/>
          </rPr>
          <t xml:space="preserve">
Difiere de lo reportado en 2020</t>
        </r>
      </text>
    </comment>
    <comment ref="AQ69" authorId="0" shapeId="0" xr:uid="{EE9B3492-88DB-4366-B9D2-5F1D905F0008}">
      <text>
        <r>
          <rPr>
            <b/>
            <sz val="9"/>
            <color indexed="81"/>
            <rFont val="Tahoma"/>
            <family val="2"/>
          </rPr>
          <t>Usuario:</t>
        </r>
        <r>
          <rPr>
            <sz val="9"/>
            <color indexed="81"/>
            <rFont val="Tahoma"/>
            <family val="2"/>
          </rPr>
          <t xml:space="preserve">
se ajusto formato a %</t>
        </r>
      </text>
    </comment>
    <comment ref="AQ70" authorId="0" shapeId="0" xr:uid="{512F899C-3A8D-4A35-B225-CAC15E090785}">
      <text>
        <r>
          <rPr>
            <b/>
            <sz val="9"/>
            <color indexed="81"/>
            <rFont val="Tahoma"/>
            <family val="2"/>
          </rPr>
          <t>Usuario:</t>
        </r>
        <r>
          <rPr>
            <sz val="9"/>
            <color indexed="81"/>
            <rFont val="Tahoma"/>
            <family val="2"/>
          </rPr>
          <t xml:space="preserve">
se ajusto formato a %</t>
        </r>
      </text>
    </comment>
    <comment ref="AQ71" authorId="0" shapeId="0" xr:uid="{9A9A7159-7056-43FF-B355-F385C5D4C1B1}">
      <text>
        <r>
          <rPr>
            <b/>
            <sz val="9"/>
            <color indexed="81"/>
            <rFont val="Tahoma"/>
            <family val="2"/>
          </rPr>
          <t>Usuario:</t>
        </r>
        <r>
          <rPr>
            <sz val="9"/>
            <color indexed="81"/>
            <rFont val="Tahoma"/>
            <family val="2"/>
          </rPr>
          <t xml:space="preserve">
se ajusto formato a %</t>
        </r>
      </text>
    </comment>
    <comment ref="AH82" authorId="0" shapeId="0" xr:uid="{584AB9B6-55F8-4092-B919-F01035D63307}">
      <text>
        <r>
          <rPr>
            <b/>
            <sz val="9"/>
            <color indexed="81"/>
            <rFont val="Tahoma"/>
            <family val="2"/>
          </rPr>
          <t>Usuario:</t>
        </r>
        <r>
          <rPr>
            <sz val="9"/>
            <color indexed="81"/>
            <rFont val="Tahoma"/>
            <family val="2"/>
          </rPr>
          <t xml:space="preserve">
No hay meta</t>
        </r>
      </text>
    </comment>
    <comment ref="AI82" authorId="0" shapeId="0" xr:uid="{FD7CCF97-9570-4FFF-97C4-CDAF8CC70F5C}">
      <text>
        <r>
          <rPr>
            <b/>
            <sz val="9"/>
            <color indexed="81"/>
            <rFont val="Tahoma"/>
            <family val="2"/>
          </rPr>
          <t>Usuario:</t>
        </r>
        <r>
          <rPr>
            <sz val="9"/>
            <color indexed="81"/>
            <rFont val="Tahoma"/>
            <family val="2"/>
          </rPr>
          <t xml:space="preserve">
No hay meta</t>
        </r>
      </text>
    </comment>
    <comment ref="AQ90" authorId="0" shapeId="0" xr:uid="{6770BF0F-6455-4DD6-93DA-ECAD630DBE67}">
      <text>
        <r>
          <rPr>
            <b/>
            <sz val="9"/>
            <color indexed="81"/>
            <rFont val="Tahoma"/>
            <family val="2"/>
          </rPr>
          <t>Usuario:</t>
        </r>
        <r>
          <rPr>
            <sz val="9"/>
            <color indexed="81"/>
            <rFont val="Tahoma"/>
            <family val="2"/>
          </rPr>
          <t xml:space="preserve">
Se ajusto formato a %</t>
        </r>
      </text>
    </comment>
    <comment ref="B91" authorId="0" shapeId="0" xr:uid="{85683D11-DA3C-4B92-BF74-C15F7CDCCD25}">
      <text>
        <r>
          <rPr>
            <b/>
            <sz val="9"/>
            <color indexed="81"/>
            <rFont val="Tahoma"/>
            <family val="2"/>
          </rPr>
          <t>Usuario:</t>
        </r>
        <r>
          <rPr>
            <sz val="9"/>
            <color indexed="81"/>
            <rFont val="Tahoma"/>
            <family val="2"/>
          </rPr>
          <t xml:space="preserve">
Especificar en la creación del indicador en CARdinal</t>
        </r>
      </text>
    </comment>
    <comment ref="AQ94" authorId="0" shapeId="0" xr:uid="{FDDC428D-13B5-4D09-B5F4-C35F01ABD4E3}">
      <text>
        <r>
          <rPr>
            <b/>
            <sz val="9"/>
            <color indexed="81"/>
            <rFont val="Tahoma"/>
            <family val="2"/>
          </rPr>
          <t>Usuario:</t>
        </r>
        <r>
          <rPr>
            <sz val="9"/>
            <color indexed="81"/>
            <rFont val="Tahoma"/>
            <family val="2"/>
          </rPr>
          <t xml:space="preserve">
Se ajusto formato a %</t>
        </r>
      </text>
    </comment>
    <comment ref="AQ96" authorId="0" shapeId="0" xr:uid="{357460A1-8487-432C-8203-40531AEDAC9A}">
      <text>
        <r>
          <rPr>
            <b/>
            <sz val="9"/>
            <color indexed="81"/>
            <rFont val="Tahoma"/>
            <family val="2"/>
          </rPr>
          <t>Usuario:</t>
        </r>
        <r>
          <rPr>
            <sz val="9"/>
            <color indexed="81"/>
            <rFont val="Tahoma"/>
            <family val="2"/>
          </rPr>
          <t xml:space="preserve">
Se ajusto formato a %</t>
        </r>
      </text>
    </comment>
    <comment ref="A106" authorId="1" shapeId="0" xr:uid="{E75608C3-2DBE-4548-908B-9638E75052AD}">
      <text>
        <r>
          <rPr>
            <sz val="11"/>
            <color theme="1"/>
            <rFont val="Arial"/>
            <family val="2"/>
          </rPr>
          <t>Se ajusto el termino resaltado en rojo de la forma como se encuentra en el Anexo 19 del PAI.</t>
        </r>
      </text>
    </comment>
    <comment ref="S107" authorId="0" shapeId="0" xr:uid="{BE2DCED5-9CC3-45DE-A30B-110FAC65B6F9}">
      <text>
        <r>
          <rPr>
            <b/>
            <sz val="9"/>
            <color indexed="81"/>
            <rFont val="Tahoma"/>
            <family val="2"/>
          </rPr>
          <t>Usuario:</t>
        </r>
        <r>
          <rPr>
            <sz val="9"/>
            <color indexed="81"/>
            <rFont val="Tahoma"/>
            <family val="2"/>
          </rPr>
          <t xml:space="preserve">
Osea el convenio cubre 25 semilleros?</t>
        </r>
      </text>
    </comment>
    <comment ref="S119" authorId="0" shapeId="0" xr:uid="{C7ACDFF7-7FE7-42C4-B994-7546DCD918E3}">
      <text>
        <r>
          <rPr>
            <b/>
            <sz val="9"/>
            <color indexed="81"/>
            <rFont val="Tahoma"/>
            <family val="2"/>
          </rPr>
          <t>Usuario:</t>
        </r>
        <r>
          <rPr>
            <sz val="9"/>
            <color indexed="81"/>
            <rFont val="Tahoma"/>
            <family val="2"/>
          </rPr>
          <t xml:space="preserve">
Cuantos talleres</t>
        </r>
      </text>
    </comment>
    <comment ref="BH122" authorId="1" shapeId="0" xr:uid="{24088BB7-3F0A-4991-B1ED-127F65161E99}">
      <text>
        <r>
          <rPr>
            <sz val="11"/>
            <color theme="1"/>
            <rFont val="Arial"/>
            <family val="2"/>
          </rPr>
          <t xml:space="preserve">Lo articulan a varios indicadores ODS, se selecciona uno de ellos
</t>
        </r>
      </text>
    </comment>
    <comment ref="A126" authorId="1" shapeId="0" xr:uid="{C7F974E0-5CDE-435D-ABDF-3858F3674945}">
      <text>
        <r>
          <rPr>
            <sz val="11"/>
            <color theme="1"/>
            <rFont val="Arial"/>
            <family val="2"/>
          </rPr>
          <t>Como solo se permite un solo indicador por actividad, se duplica incorporando una letra diferenciadora y de esta manera se conservan los dos indicadores asociados.</t>
        </r>
      </text>
    </comment>
    <comment ref="A127" authorId="1" shapeId="0" xr:uid="{0000D635-11E0-403E-A70C-C886B293BB32}">
      <text>
        <r>
          <rPr>
            <sz val="11"/>
            <color theme="1"/>
            <rFont val="Arial"/>
            <family val="2"/>
          </rPr>
          <t>Como solo se permite un solo indicador por actividad, se duplica incorporando una letra diferenciadora y de esta manera se conservan los dos indicadores asociados.</t>
        </r>
      </text>
    </comment>
    <comment ref="AQ128" authorId="0" shapeId="0" xr:uid="{25E16DAE-0406-4BA4-85C7-6C6D52174418}">
      <text>
        <r>
          <rPr>
            <b/>
            <sz val="9"/>
            <color indexed="81"/>
            <rFont val="Tahoma"/>
            <family val="2"/>
          </rPr>
          <t>Usuario:</t>
        </r>
        <r>
          <rPr>
            <sz val="9"/>
            <color indexed="81"/>
            <rFont val="Tahoma"/>
            <family val="2"/>
          </rPr>
          <t xml:space="preserve">
Se ajusto formato a %</t>
        </r>
      </text>
    </comment>
    <comment ref="A130" authorId="1" shapeId="0" xr:uid="{7EF61890-0326-49C9-BF76-4E81BE1B4088}">
      <text>
        <r>
          <rPr>
            <sz val="11"/>
            <color theme="1"/>
            <rFont val="Arial"/>
            <family val="2"/>
          </rPr>
          <t>Como solo se permite un solo indicador por actividad, se duplica incorporando una letra diferenciadora y de esta manera se conservan los dos indicadores asociados.</t>
        </r>
      </text>
    </comment>
    <comment ref="A131" authorId="1" shapeId="0" xr:uid="{4488DF77-EF86-48D6-AEEF-9C23963367E0}">
      <text>
        <r>
          <rPr>
            <sz val="11"/>
            <color theme="1"/>
            <rFont val="Arial"/>
            <family val="2"/>
          </rPr>
          <t>Como solo se permite un solo indicador por actividad, se duplica incorporando una letra diferenciadora y de esta manera se conservan los dos indicadores asociados.</t>
        </r>
      </text>
    </comment>
    <comment ref="AQ139" authorId="0" shapeId="0" xr:uid="{8850B945-5D89-49E2-8E0D-89F96E4C2F81}">
      <text>
        <r>
          <rPr>
            <b/>
            <sz val="9"/>
            <color indexed="81"/>
            <rFont val="Tahoma"/>
            <family val="2"/>
          </rPr>
          <t>Usuario:</t>
        </r>
        <r>
          <rPr>
            <sz val="9"/>
            <color indexed="81"/>
            <rFont val="Tahoma"/>
            <family val="2"/>
          </rPr>
          <t xml:space="preserve">
Se ajusto formato a %</t>
        </r>
      </text>
    </comment>
    <comment ref="BH149" authorId="1" shapeId="0" xr:uid="{0B2493F7-BE93-4BCE-B99A-DF1002177E50}">
      <text>
        <r>
          <rPr>
            <sz val="11"/>
            <color theme="1"/>
            <rFont val="Arial"/>
            <family val="2"/>
          </rPr>
          <t xml:space="preserve">Lo articulan con ODS 11 pero no se encontro un indicador afin al alcance de la actividad
</t>
        </r>
      </text>
    </comment>
    <comment ref="BH152" authorId="1" shapeId="0" xr:uid="{881A27F1-421E-4A91-AABB-8F61C3FD8C1A}">
      <text>
        <r>
          <rPr>
            <sz val="11"/>
            <color theme="1"/>
            <rFont val="Arial"/>
            <family val="2"/>
          </rPr>
          <t xml:space="preserve">Asociado a metas de 2 ODS, se selecciono el más afin al alcance de del proyecto
</t>
        </r>
      </text>
    </comment>
    <comment ref="BH154" authorId="1" shapeId="0" xr:uid="{EE9FC730-59A6-4AEA-8CB1-7BAFAE03A837}">
      <text>
        <r>
          <rPr>
            <sz val="11"/>
            <color theme="1"/>
            <rFont val="Arial"/>
            <family val="2"/>
          </rPr>
          <t xml:space="preserve">Asociado a metas de 2 ODS, se selecciono el más afin al alcance de del proyecto
</t>
        </r>
      </text>
    </comment>
    <comment ref="BH156" authorId="1" shapeId="0" xr:uid="{701182E2-4159-4E47-B83E-A5EC02405EC9}">
      <text>
        <r>
          <rPr>
            <sz val="11"/>
            <color theme="1"/>
            <rFont val="Arial"/>
            <family val="2"/>
          </rPr>
          <t xml:space="preserve">Asociado a metas de 2 ODS
</t>
        </r>
      </text>
    </comment>
    <comment ref="BH160" authorId="1" shapeId="0" xr:uid="{81AA898E-2FFB-469A-BABE-0D637344BE77}">
      <text>
        <r>
          <rPr>
            <sz val="11"/>
            <color theme="1"/>
            <rFont val="Arial"/>
            <family val="2"/>
          </rPr>
          <t xml:space="preserve">Lo articulan a ODS 11, sin embargo no se encontró un indicador acorde al alcance del producto
</t>
        </r>
      </text>
    </comment>
    <comment ref="BH162" authorId="1" shapeId="0" xr:uid="{11F708FD-51FF-4010-A1BF-0D50ECA442C9}">
      <text>
        <r>
          <rPr>
            <sz val="11"/>
            <color theme="1"/>
            <rFont val="Arial"/>
            <family val="2"/>
          </rPr>
          <t xml:space="preserve">Lo articulan a ODS 11, sin embargo no se encontró un indicador acorde al alcance del producto
</t>
        </r>
      </text>
    </comment>
    <comment ref="BH164" authorId="1" shapeId="0" xr:uid="{53989468-E1FD-4437-ACD4-FCD6AA81AFC7}">
      <text>
        <r>
          <rPr>
            <sz val="11"/>
            <color theme="1"/>
            <rFont val="Arial"/>
            <family val="2"/>
          </rPr>
          <t xml:space="preserve">Asociado al ODS 11, se selecciono el más afin al alcance de del proyecto
</t>
        </r>
      </text>
    </comment>
    <comment ref="BH166" authorId="1" shapeId="0" xr:uid="{F6BB3A94-9DF2-4DC4-822F-29744559DA45}">
      <text>
        <r>
          <rPr>
            <sz val="11"/>
            <color theme="1"/>
            <rFont val="Arial"/>
            <family val="2"/>
          </rPr>
          <t xml:space="preserve">Asociado a metas de 2 ODS, se selecciono uno de los indicadores sin embargo se recomienda revisar la pertinencia de este de acuerdo al alcance del proyecto.
</t>
        </r>
      </text>
    </comment>
    <comment ref="AQ167" authorId="0" shapeId="0" xr:uid="{8BF48573-5A2D-4080-8468-3BF7BD3B4092}">
      <text>
        <r>
          <rPr>
            <b/>
            <sz val="9"/>
            <color indexed="81"/>
            <rFont val="Tahoma"/>
            <family val="2"/>
          </rPr>
          <t>Usuario:</t>
        </r>
        <r>
          <rPr>
            <sz val="9"/>
            <color indexed="81"/>
            <rFont val="Tahoma"/>
            <family val="2"/>
          </rPr>
          <t xml:space="preserve">
Se ajusto formato a %</t>
        </r>
      </text>
    </comment>
    <comment ref="AQ168" authorId="0" shapeId="0" xr:uid="{87201B43-5DE9-47A6-9B62-08B568187E09}">
      <text>
        <r>
          <rPr>
            <b/>
            <sz val="9"/>
            <color indexed="81"/>
            <rFont val="Tahoma"/>
            <family val="2"/>
          </rPr>
          <t>Usuario:</t>
        </r>
        <r>
          <rPr>
            <sz val="9"/>
            <color indexed="81"/>
            <rFont val="Tahoma"/>
            <family val="2"/>
          </rPr>
          <t xml:space="preserve">
Se ajusto formato a %</t>
        </r>
      </text>
    </comment>
    <comment ref="BH177" authorId="1" shapeId="0" xr:uid="{7B1FB07E-79E8-49DB-87DE-097757B346C3}">
      <text>
        <r>
          <rPr>
            <sz val="11"/>
            <color theme="1"/>
            <rFont val="Arial"/>
            <family val="2"/>
          </rPr>
          <t xml:space="preserve">Lo articulan con ODS 11
</t>
        </r>
      </text>
    </comment>
    <comment ref="AQ178" authorId="0" shapeId="0" xr:uid="{0A8D2D6A-2CFE-487A-9092-957016143C66}">
      <text>
        <r>
          <rPr>
            <b/>
            <sz val="9"/>
            <color indexed="81"/>
            <rFont val="Tahoma"/>
            <family val="2"/>
          </rPr>
          <t>Usuario:</t>
        </r>
        <r>
          <rPr>
            <sz val="9"/>
            <color indexed="81"/>
            <rFont val="Tahoma"/>
            <family val="2"/>
          </rPr>
          <t xml:space="preserve">
Se ajusto formato a %</t>
        </r>
      </text>
    </comment>
    <comment ref="BH179" authorId="1" shapeId="0" xr:uid="{E84270D7-B626-441B-B6BD-0574A829A1A7}">
      <text>
        <r>
          <rPr>
            <sz val="11"/>
            <color theme="1"/>
            <rFont val="Arial"/>
            <family val="2"/>
          </rPr>
          <t xml:space="preserve">Lo articulan con ODS 11
</t>
        </r>
      </text>
    </comment>
    <comment ref="BH180" authorId="1" shapeId="0" xr:uid="{BD98664E-F866-4F7B-8778-21268CA1A7C2}">
      <text>
        <r>
          <rPr>
            <sz val="11"/>
            <color theme="1"/>
            <rFont val="Arial"/>
            <family val="2"/>
          </rPr>
          <t xml:space="preserve">Lo articulan con ODS 11
</t>
        </r>
      </text>
    </comment>
    <comment ref="A181" authorId="1" shapeId="0" xr:uid="{D6EE278A-1328-4F03-B10F-CE43A47A2A5C}">
      <text>
        <r>
          <rPr>
            <sz val="11"/>
            <color theme="1"/>
            <rFont val="Arial"/>
            <family val="2"/>
          </rPr>
          <t>Se duplica actividad para conservar los dos indicadores asociados</t>
        </r>
      </text>
    </comment>
    <comment ref="BH181" authorId="1" shapeId="0" xr:uid="{13AB7C61-DBBB-4D13-81BD-9B66D8BB0A73}">
      <text>
        <r>
          <rPr>
            <sz val="11"/>
            <color theme="1"/>
            <rFont val="Arial"/>
            <family val="2"/>
          </rPr>
          <t xml:space="preserve">Lo articulan con ODS 11
</t>
        </r>
      </text>
    </comment>
    <comment ref="S182" authorId="0" shapeId="0" xr:uid="{D52D8DDE-D7B0-4D97-80D1-7079D569DD21}">
      <text>
        <r>
          <rPr>
            <b/>
            <sz val="9"/>
            <color indexed="81"/>
            <rFont val="Tahoma"/>
            <family val="2"/>
          </rPr>
          <t>Usuario:</t>
        </r>
        <r>
          <rPr>
            <sz val="9"/>
            <color indexed="81"/>
            <rFont val="Tahoma"/>
            <family val="2"/>
          </rPr>
          <t xml:space="preserve">
De acuerdo a esto, la meta debe replantearse</t>
        </r>
      </text>
    </comment>
    <comment ref="AZ186" authorId="0" shapeId="0" xr:uid="{EB1A9F87-9796-453D-8701-3F6605AF6332}">
      <text>
        <r>
          <rPr>
            <b/>
            <sz val="9"/>
            <color indexed="81"/>
            <rFont val="Tahoma"/>
            <family val="2"/>
          </rPr>
          <t>Usuario:</t>
        </r>
        <r>
          <rPr>
            <sz val="9"/>
            <color indexed="81"/>
            <rFont val="Tahoma"/>
            <family val="2"/>
          </rPr>
          <t xml:space="preserve">
Solucionado al actualizarlo con la info del sem I del 2021</t>
        </r>
      </text>
    </comment>
    <comment ref="AZ187" authorId="0" shapeId="0" xr:uid="{2251E92D-D13E-44B3-9793-0030BF28148E}">
      <text>
        <r>
          <rPr>
            <b/>
            <sz val="9"/>
            <color indexed="81"/>
            <rFont val="Tahoma"/>
            <family val="2"/>
          </rPr>
          <t>Usuario:</t>
        </r>
        <r>
          <rPr>
            <sz val="9"/>
            <color indexed="81"/>
            <rFont val="Tahoma"/>
            <family val="2"/>
          </rPr>
          <t xml:space="preserve">
Solucionado al actualizarlo con la info del sem I del 2021</t>
        </r>
      </text>
    </comment>
    <comment ref="BH187" authorId="1" shapeId="0" xr:uid="{2200EA54-782D-4417-9C12-A33CBEC93CD6}">
      <text>
        <r>
          <rPr>
            <sz val="11"/>
            <color theme="1"/>
            <rFont val="Arial"/>
            <family val="2"/>
          </rPr>
          <t xml:space="preserve">Lo articularon con ODS 15
</t>
        </r>
      </text>
    </comment>
    <comment ref="S192" authorId="0" shapeId="0" xr:uid="{642A5C3A-467F-4528-B049-B01966E4118E}">
      <text>
        <r>
          <rPr>
            <b/>
            <sz val="9"/>
            <color indexed="81"/>
            <rFont val="Tahoma"/>
            <family val="2"/>
          </rPr>
          <t>Usuario:</t>
        </r>
        <r>
          <rPr>
            <sz val="9"/>
            <color indexed="81"/>
            <rFont val="Tahoma"/>
            <family val="2"/>
          </rPr>
          <t xml:space="preserve">
Revisar frente a lo consignado en el documento</t>
        </r>
      </text>
    </comment>
    <comment ref="BH192" authorId="1" shapeId="0" xr:uid="{F07F9B10-0C7D-4FC8-B946-3213E174B3F9}">
      <text>
        <r>
          <rPr>
            <sz val="11"/>
            <color theme="1"/>
            <rFont val="Arial"/>
            <family val="2"/>
          </rPr>
          <t xml:space="preserve">Lo articulan con ODS15
</t>
        </r>
      </text>
    </comment>
    <comment ref="BH193" authorId="1" shapeId="0" xr:uid="{6F132255-4426-48D0-AE6F-0AAEED84E7EE}">
      <text>
        <r>
          <rPr>
            <sz val="11"/>
            <color theme="1"/>
            <rFont val="Arial"/>
            <family val="2"/>
          </rPr>
          <t xml:space="preserve">Lo articulan con ODS15
</t>
        </r>
      </text>
    </comment>
    <comment ref="BH194" authorId="1" shapeId="0" xr:uid="{033950DF-F89A-4D2F-9063-642ED96F1003}">
      <text>
        <r>
          <rPr>
            <sz val="11"/>
            <color theme="1"/>
            <rFont val="Arial"/>
            <family val="2"/>
          </rPr>
          <t xml:space="preserve">Lo articulan con ODS15
</t>
        </r>
      </text>
    </comment>
    <comment ref="BH195" authorId="1" shapeId="0" xr:uid="{53A972CD-9840-4DFB-ACBA-C14271AD0CB9}">
      <text>
        <r>
          <rPr>
            <sz val="11"/>
            <color theme="1"/>
            <rFont val="Arial"/>
            <family val="2"/>
          </rPr>
          <t xml:space="preserve">Lo articulan con ODS13
</t>
        </r>
      </text>
    </comment>
    <comment ref="A196" authorId="1" shapeId="0" xr:uid="{C7B65319-559C-49AC-BEAA-73D3CAA270DB}">
      <text>
        <r>
          <rPr>
            <sz val="11"/>
            <color theme="1"/>
            <rFont val="Arial"/>
            <family val="2"/>
          </rPr>
          <t xml:space="preserve">la acción es más la formalización que el instrumento en si </t>
        </r>
      </text>
    </comment>
    <comment ref="BH196" authorId="1" shapeId="0" xr:uid="{040803E6-DCDC-4E9F-B544-E7E29DE5EDF3}">
      <text>
        <r>
          <rPr>
            <sz val="11"/>
            <color theme="1"/>
            <rFont val="Arial"/>
            <family val="2"/>
          </rPr>
          <t xml:space="preserve">Lo articulan con ODS13
</t>
        </r>
      </text>
    </comment>
    <comment ref="BH197" authorId="1" shapeId="0" xr:uid="{4D85AA71-0529-4E6E-9B44-DF6CA4F0AED1}">
      <text>
        <r>
          <rPr>
            <sz val="11"/>
            <color theme="1"/>
            <rFont val="Arial"/>
            <family val="2"/>
          </rPr>
          <t xml:space="preserve">Lo articulan con ODS15
</t>
        </r>
      </text>
    </comment>
    <comment ref="A198" authorId="1" shapeId="0" xr:uid="{E6DDD7BA-F401-4109-BE9C-AA8339A5C1EC}">
      <text>
        <r>
          <rPr>
            <sz val="11"/>
            <color theme="1"/>
            <rFont val="Arial"/>
            <family val="2"/>
          </rPr>
          <t>relación actividad-indicador</t>
        </r>
      </text>
    </comment>
    <comment ref="A199" authorId="1" shapeId="0" xr:uid="{00511E34-DE01-455E-A7F7-C4E756B845C3}">
      <text>
        <r>
          <rPr>
            <sz val="11"/>
            <color theme="1"/>
            <rFont val="Arial"/>
            <family val="2"/>
          </rPr>
          <t>Actividad triplicada y sin relación con el indicador…Esta actividad debería reformularse y asociarse directamente al CAVF</t>
        </r>
      </text>
    </comment>
    <comment ref="BH201" authorId="1" shapeId="0" xr:uid="{182DE4D5-7E6A-41ED-8FE0-6F8EC129E1B3}">
      <text>
        <r>
          <rPr>
            <sz val="11"/>
            <color theme="1"/>
            <rFont val="Arial"/>
            <family val="2"/>
          </rPr>
          <t xml:space="preserve">Lo articulan con ODS15
</t>
        </r>
      </text>
    </comment>
    <comment ref="AQ215" authorId="0" shapeId="0" xr:uid="{91BF9D43-782B-4BD7-8743-6589E7B771B8}">
      <text>
        <r>
          <rPr>
            <b/>
            <sz val="9"/>
            <color indexed="81"/>
            <rFont val="Tahoma"/>
            <family val="2"/>
          </rPr>
          <t>Usuario:</t>
        </r>
        <r>
          <rPr>
            <sz val="9"/>
            <color indexed="81"/>
            <rFont val="Tahoma"/>
            <family val="2"/>
          </rPr>
          <t xml:space="preserve">
Se ajusto formato a %</t>
        </r>
      </text>
    </comment>
    <comment ref="AQ218" authorId="0" shapeId="0" xr:uid="{576E1434-38F9-44B3-B886-5C1CA7BEB6AD}">
      <text>
        <r>
          <rPr>
            <b/>
            <sz val="9"/>
            <color indexed="81"/>
            <rFont val="Tahoma"/>
            <family val="2"/>
          </rPr>
          <t>Usuario:</t>
        </r>
        <r>
          <rPr>
            <sz val="9"/>
            <color indexed="81"/>
            <rFont val="Tahoma"/>
            <family val="2"/>
          </rPr>
          <t xml:space="preserve">
Se ajusto formato a %</t>
        </r>
      </text>
    </comment>
    <comment ref="AQ219" authorId="0" shapeId="0" xr:uid="{965A9CFF-A4CD-4566-B84F-61A66C9B3771}">
      <text>
        <r>
          <rPr>
            <b/>
            <sz val="9"/>
            <color indexed="81"/>
            <rFont val="Tahoma"/>
            <family val="2"/>
          </rPr>
          <t>Usuario:</t>
        </r>
        <r>
          <rPr>
            <sz val="9"/>
            <color indexed="81"/>
            <rFont val="Tahoma"/>
            <family val="2"/>
          </rPr>
          <t xml:space="preserve">
Se ajusto formato a %</t>
        </r>
      </text>
    </comment>
    <comment ref="BH220" authorId="1" shapeId="0" xr:uid="{9F203A14-1FFF-4F28-B061-5B1C02E37ED9}">
      <text>
        <r>
          <rPr>
            <sz val="11"/>
            <color theme="1"/>
            <rFont val="Arial"/>
            <family val="2"/>
          </rPr>
          <t xml:space="preserve">Este proyecto lo articulan con ODS 8 y 3. Solo se encontro un indicador afin correspondiente al ODS 8. Revisar
</t>
        </r>
      </text>
    </comment>
    <comment ref="AG221" authorId="0" shapeId="0" xr:uid="{B3470EA1-FF53-47DE-BD39-7B5B205E3545}">
      <text>
        <r>
          <rPr>
            <b/>
            <sz val="9"/>
            <color indexed="81"/>
            <rFont val="Tahoma"/>
            <family val="2"/>
          </rPr>
          <t>Usuario:</t>
        </r>
        <r>
          <rPr>
            <sz val="9"/>
            <color indexed="81"/>
            <rFont val="Tahoma"/>
            <family val="2"/>
          </rPr>
          <t xml:space="preserve">
Revisar frente a meta</t>
        </r>
      </text>
    </comment>
    <comment ref="AQ221" authorId="0" shapeId="0" xr:uid="{DF358230-1B4A-400D-8C6A-3241FA358E15}">
      <text>
        <r>
          <rPr>
            <b/>
            <sz val="9"/>
            <color indexed="81"/>
            <rFont val="Tahoma"/>
            <family val="2"/>
          </rPr>
          <t>Usuario:</t>
        </r>
        <r>
          <rPr>
            <sz val="9"/>
            <color indexed="81"/>
            <rFont val="Tahoma"/>
            <family val="2"/>
          </rPr>
          <t xml:space="preserve">
Se ajusto formato a %</t>
        </r>
      </text>
    </comment>
    <comment ref="BH221" authorId="1" shapeId="0" xr:uid="{36FBBB9F-6C09-4E7B-B3D2-04CA6EA74C86}">
      <text>
        <r>
          <rPr>
            <sz val="11"/>
            <color theme="1"/>
            <rFont val="Arial"/>
            <family val="2"/>
          </rPr>
          <t xml:space="preserve">Este proyecto lo articulan con ODS 8 y 3. Solo se encontro un indicador afin correspondiente al ODS 8. Revisar
</t>
        </r>
      </text>
    </comment>
    <comment ref="AG222" authorId="0" shapeId="0" xr:uid="{F0DB1A1D-67D9-44E7-A492-A5C6590D098B}">
      <text>
        <r>
          <rPr>
            <b/>
            <sz val="9"/>
            <color indexed="81"/>
            <rFont val="Tahoma"/>
            <family val="2"/>
          </rPr>
          <t>Usuario:</t>
        </r>
        <r>
          <rPr>
            <sz val="9"/>
            <color indexed="81"/>
            <rFont val="Tahoma"/>
            <family val="2"/>
          </rPr>
          <t xml:space="preserve">
Revisar frente a meta</t>
        </r>
      </text>
    </comment>
    <comment ref="AQ222" authorId="0" shapeId="0" xr:uid="{120F8E33-C1BE-45A6-A280-907503DC4B11}">
      <text>
        <r>
          <rPr>
            <b/>
            <sz val="9"/>
            <color indexed="81"/>
            <rFont val="Tahoma"/>
            <family val="2"/>
          </rPr>
          <t>Usuario:</t>
        </r>
        <r>
          <rPr>
            <sz val="9"/>
            <color indexed="81"/>
            <rFont val="Tahoma"/>
            <family val="2"/>
          </rPr>
          <t xml:space="preserve">
Se ajusto formato a %</t>
        </r>
      </text>
    </comment>
    <comment ref="AZ222" authorId="0" shapeId="0" xr:uid="{E98CCF3C-619D-4FD0-9A8F-09E0C537356A}">
      <text>
        <r>
          <rPr>
            <b/>
            <sz val="9"/>
            <color indexed="81"/>
            <rFont val="Tahoma"/>
            <family val="2"/>
          </rPr>
          <t>Usuario:</t>
        </r>
        <r>
          <rPr>
            <sz val="9"/>
            <color indexed="81"/>
            <rFont val="Tahoma"/>
            <family val="2"/>
          </rPr>
          <t xml:space="preserve">
Solucionado al actualizarlo con la info del sem I del 2021</t>
        </r>
      </text>
    </comment>
    <comment ref="AG223" authorId="0" shapeId="0" xr:uid="{83595611-1477-4ED8-BAAB-ACB6907C46A8}">
      <text>
        <r>
          <rPr>
            <b/>
            <sz val="9"/>
            <color indexed="81"/>
            <rFont val="Tahoma"/>
            <family val="2"/>
          </rPr>
          <t>Usuario:</t>
        </r>
        <r>
          <rPr>
            <sz val="9"/>
            <color indexed="81"/>
            <rFont val="Tahoma"/>
            <family val="2"/>
          </rPr>
          <t xml:space="preserve">
Revisar frente a meta</t>
        </r>
      </text>
    </comment>
    <comment ref="AZ223" authorId="0" shapeId="0" xr:uid="{A6645A61-53A5-45FA-8F5B-694FEFF8DADB}">
      <text>
        <r>
          <rPr>
            <b/>
            <sz val="9"/>
            <color indexed="81"/>
            <rFont val="Tahoma"/>
            <family val="2"/>
          </rPr>
          <t>Usuario:</t>
        </r>
        <r>
          <rPr>
            <sz val="9"/>
            <color indexed="81"/>
            <rFont val="Tahoma"/>
            <family val="2"/>
          </rPr>
          <t xml:space="preserve">
Solucionado al actualizarlo con la info del sem I del 2021</t>
        </r>
      </text>
    </comment>
    <comment ref="AQ224" authorId="0" shapeId="0" xr:uid="{6CE8A34A-9386-4ADB-B6D7-E19C81B55C95}">
      <text>
        <r>
          <rPr>
            <b/>
            <sz val="9"/>
            <color indexed="81"/>
            <rFont val="Tahoma"/>
            <family val="2"/>
          </rPr>
          <t>Usuario:</t>
        </r>
        <r>
          <rPr>
            <sz val="9"/>
            <color indexed="81"/>
            <rFont val="Tahoma"/>
            <family val="2"/>
          </rPr>
          <t xml:space="preserve">
Se ajusto formato a %</t>
        </r>
      </text>
    </comment>
    <comment ref="AQ225" authorId="0" shapeId="0" xr:uid="{10690D8F-8F33-428E-A3D7-487C16F7E969}">
      <text>
        <r>
          <rPr>
            <b/>
            <sz val="9"/>
            <color indexed="81"/>
            <rFont val="Tahoma"/>
            <family val="2"/>
          </rPr>
          <t>Usuario:</t>
        </r>
        <r>
          <rPr>
            <sz val="9"/>
            <color indexed="81"/>
            <rFont val="Tahoma"/>
            <family val="2"/>
          </rPr>
          <t xml:space="preserve">
Se ajusto formato a %</t>
        </r>
      </text>
    </comment>
    <comment ref="AQ226" authorId="0" shapeId="0" xr:uid="{EC68DA22-7480-4524-8B7A-302B8C0DD77C}">
      <text>
        <r>
          <rPr>
            <b/>
            <sz val="9"/>
            <color indexed="81"/>
            <rFont val="Tahoma"/>
            <family val="2"/>
          </rPr>
          <t>Usuario:</t>
        </r>
        <r>
          <rPr>
            <sz val="9"/>
            <color indexed="81"/>
            <rFont val="Tahoma"/>
            <family val="2"/>
          </rPr>
          <t xml:space="preserve">
Se ajusto formato a %</t>
        </r>
      </text>
    </comment>
    <comment ref="BH228" authorId="1" shapeId="0" xr:uid="{C31F8133-4C36-44A3-8897-26B01692B3F2}">
      <text>
        <r>
          <rPr>
            <sz val="11"/>
            <color theme="1"/>
            <rFont val="Arial"/>
            <family val="2"/>
          </rPr>
          <t xml:space="preserve">Lo articularon con ODS 8 y 3
</t>
        </r>
      </text>
    </comment>
    <comment ref="AQ230" authorId="0" shapeId="0" xr:uid="{C2B1E697-0BD6-4428-9262-DC202DDC9FA8}">
      <text>
        <r>
          <rPr>
            <b/>
            <sz val="9"/>
            <color indexed="81"/>
            <rFont val="Tahoma"/>
            <family val="2"/>
          </rPr>
          <t>Usuario:</t>
        </r>
        <r>
          <rPr>
            <sz val="9"/>
            <color indexed="81"/>
            <rFont val="Tahoma"/>
            <family val="2"/>
          </rPr>
          <t xml:space="preserve">
Se ajusto formato a %</t>
        </r>
      </text>
    </comment>
    <comment ref="AQ231" authorId="0" shapeId="0" xr:uid="{D829F252-8C85-4E0E-A20E-FD8854532E32}">
      <text>
        <r>
          <rPr>
            <b/>
            <sz val="9"/>
            <color indexed="81"/>
            <rFont val="Tahoma"/>
            <family val="2"/>
          </rPr>
          <t>Usuario:</t>
        </r>
        <r>
          <rPr>
            <sz val="9"/>
            <color indexed="81"/>
            <rFont val="Tahoma"/>
            <family val="2"/>
          </rPr>
          <t xml:space="preserve">
Se ajusto formato a %</t>
        </r>
      </text>
    </comment>
    <comment ref="BH231" authorId="1" shapeId="0" xr:uid="{F1B180A3-355E-4175-83C9-10A48639F258}">
      <text>
        <r>
          <rPr>
            <sz val="11"/>
            <color theme="1"/>
            <rFont val="Arial"/>
            <family val="2"/>
          </rPr>
          <t xml:space="preserve">Lo articulan con ODS 9
</t>
        </r>
      </text>
    </comment>
    <comment ref="AQ232" authorId="0" shapeId="0" xr:uid="{CD11CF59-1443-4A20-A45E-AF808566D177}">
      <text>
        <r>
          <rPr>
            <b/>
            <sz val="9"/>
            <color indexed="81"/>
            <rFont val="Tahoma"/>
            <family val="2"/>
          </rPr>
          <t>Usuario:</t>
        </r>
        <r>
          <rPr>
            <sz val="9"/>
            <color indexed="81"/>
            <rFont val="Tahoma"/>
            <family val="2"/>
          </rPr>
          <t xml:space="preserve">
Se ajusto formato a %</t>
        </r>
      </text>
    </comment>
    <comment ref="BH232" authorId="1" shapeId="0" xr:uid="{CF223E96-459B-4F91-B382-7D02CB7BB700}">
      <text>
        <r>
          <rPr>
            <sz val="11"/>
            <color theme="1"/>
            <rFont val="Arial"/>
            <family val="2"/>
          </rPr>
          <t xml:space="preserve">Lo articulan con ODS 9
</t>
        </r>
      </text>
    </comment>
    <comment ref="AG233" authorId="0" shapeId="0" xr:uid="{A8F289F0-CA1A-4807-987E-DF3F4730A155}">
      <text>
        <r>
          <rPr>
            <b/>
            <sz val="9"/>
            <color indexed="81"/>
            <rFont val="Tahoma"/>
            <family val="2"/>
          </rPr>
          <t>Usuario:</t>
        </r>
        <r>
          <rPr>
            <sz val="9"/>
            <color indexed="81"/>
            <rFont val="Tahoma"/>
            <family val="2"/>
          </rPr>
          <t xml:space="preserve">
Revisar, no hay meta</t>
        </r>
      </text>
    </comment>
    <comment ref="AQ233" authorId="0" shapeId="0" xr:uid="{B77A9F1E-A915-4DA7-816C-7113415C955C}">
      <text>
        <r>
          <rPr>
            <b/>
            <sz val="9"/>
            <color indexed="81"/>
            <rFont val="Tahoma"/>
            <family val="2"/>
          </rPr>
          <t>Usuario:</t>
        </r>
        <r>
          <rPr>
            <sz val="9"/>
            <color indexed="81"/>
            <rFont val="Tahoma"/>
            <family val="2"/>
          </rPr>
          <t xml:space="preserve">
Se ajusto formato a %</t>
        </r>
      </text>
    </comment>
    <comment ref="BH233" authorId="1" shapeId="0" xr:uid="{2639A4A7-75C3-4F26-8C2D-C00DD91D5FA9}">
      <text>
        <r>
          <rPr>
            <sz val="11"/>
            <color theme="1"/>
            <rFont val="Arial"/>
            <family val="2"/>
          </rPr>
          <t xml:space="preserve">Lo articulan con ODS 9
</t>
        </r>
      </text>
    </comment>
    <comment ref="BH235" authorId="1" shapeId="0" xr:uid="{5C4F3497-DF0C-4E46-BA4B-E5051CED1597}">
      <text>
        <r>
          <rPr>
            <sz val="11"/>
            <color theme="1"/>
            <rFont val="Arial"/>
            <family val="2"/>
          </rPr>
          <t xml:space="preserve">Lo articulan con ODS 9
</t>
        </r>
      </text>
    </comment>
    <comment ref="AZ238" authorId="0" shapeId="0" xr:uid="{B6D142B2-8C89-4350-BDBC-AF8D31D75FC8}">
      <text>
        <r>
          <rPr>
            <b/>
            <sz val="9"/>
            <color indexed="81"/>
            <rFont val="Tahoma"/>
            <family val="2"/>
          </rPr>
          <t>Usuario:</t>
        </r>
        <r>
          <rPr>
            <sz val="9"/>
            <color indexed="81"/>
            <rFont val="Tahoma"/>
            <family val="2"/>
          </rPr>
          <t xml:space="preserve">
Solucionado al actualizarlo con la info del sem I del 2021</t>
        </r>
      </text>
    </comment>
    <comment ref="BH238" authorId="1" shapeId="0" xr:uid="{FE9BFA52-4BDF-49E0-BFB7-C64412EF6F0D}">
      <text>
        <r>
          <rPr>
            <sz val="11"/>
            <color theme="1"/>
            <rFont val="Arial"/>
            <family val="2"/>
          </rPr>
          <t xml:space="preserve">Lo articulan con ODS 9
</t>
        </r>
      </text>
    </comment>
    <comment ref="BH241" authorId="1" shapeId="0" xr:uid="{C64AE308-7A2B-4FAE-8CF7-6AA1536601F8}">
      <text>
        <r>
          <rPr>
            <sz val="11"/>
            <color theme="1"/>
            <rFont val="Arial"/>
            <family val="2"/>
          </rPr>
          <t xml:space="preserve">Lo articulan con ODS 9
</t>
        </r>
      </text>
    </comment>
    <comment ref="BH244" authorId="1" shapeId="0" xr:uid="{566EAE5B-ED59-41DB-985C-1329C41E39A3}">
      <text>
        <r>
          <rPr>
            <sz val="11"/>
            <color theme="1"/>
            <rFont val="Arial"/>
            <family val="2"/>
          </rPr>
          <t xml:space="preserve">Lo articulan con ODS 9
</t>
        </r>
      </text>
    </comment>
    <comment ref="BH247" authorId="1" shapeId="0" xr:uid="{162362C9-7375-42CB-AC17-035EA3AFE634}">
      <text>
        <r>
          <rPr>
            <sz val="11"/>
            <color theme="1"/>
            <rFont val="Arial"/>
            <family val="2"/>
          </rPr>
          <t xml:space="preserve">Lo articulan con ODS 6,7, 11 y 12
</t>
        </r>
      </text>
    </comment>
    <comment ref="S248" authorId="0" shapeId="0" xr:uid="{6471D669-11CE-4708-B40A-29B557F17A70}">
      <text>
        <r>
          <rPr>
            <b/>
            <sz val="9"/>
            <color indexed="81"/>
            <rFont val="Tahoma"/>
            <family val="2"/>
          </rPr>
          <t>Usuario:</t>
        </r>
        <r>
          <rPr>
            <sz val="9"/>
            <color indexed="81"/>
            <rFont val="Tahoma"/>
            <family val="2"/>
          </rPr>
          <t xml:space="preserve">
Total?</t>
        </r>
      </text>
    </comment>
    <comment ref="BH248" authorId="1" shapeId="0" xr:uid="{482B63B7-EC57-4719-9A8D-9D5D1A7B46CA}">
      <text>
        <r>
          <rPr>
            <sz val="11"/>
            <color theme="1"/>
            <rFont val="Arial"/>
            <family val="2"/>
          </rPr>
          <t xml:space="preserve">Lo articulan con ODS 6,7, 11 y 12
</t>
        </r>
      </text>
    </comment>
    <comment ref="BH249" authorId="1" shapeId="0" xr:uid="{ED5DE988-08D4-44A7-8E82-1C18D5D94B67}">
      <text>
        <r>
          <rPr>
            <sz val="11"/>
            <color theme="1"/>
            <rFont val="Arial"/>
            <family val="2"/>
          </rPr>
          <t xml:space="preserve">Lo articulan con ODS 6,7, 11 y 12
</t>
        </r>
      </text>
    </comment>
    <comment ref="BH252" authorId="1" shapeId="0" xr:uid="{EB11CCBE-C796-472D-86B6-3D0D39C7D86B}">
      <text>
        <r>
          <rPr>
            <sz val="11"/>
            <color theme="1"/>
            <rFont val="Arial"/>
            <family val="2"/>
          </rPr>
          <t xml:space="preserve">Lo articulan con ODS 6,9, 11,12, 14 y 15
</t>
        </r>
      </text>
    </comment>
    <comment ref="AQ253" authorId="0" shapeId="0" xr:uid="{5482EF34-4E48-46F7-A358-736D564DA091}">
      <text>
        <r>
          <rPr>
            <b/>
            <sz val="9"/>
            <color indexed="81"/>
            <rFont val="Tahoma"/>
            <family val="2"/>
          </rPr>
          <t>Usuario:</t>
        </r>
        <r>
          <rPr>
            <sz val="9"/>
            <color indexed="81"/>
            <rFont val="Tahoma"/>
            <family val="2"/>
          </rPr>
          <t xml:space="preserve">
Se ajusto formato a %</t>
        </r>
      </text>
    </comment>
    <comment ref="BH253" authorId="1" shapeId="0" xr:uid="{265AF893-ECD2-44BD-A484-35B1CB195823}">
      <text>
        <r>
          <rPr>
            <sz val="11"/>
            <color theme="1"/>
            <rFont val="Arial"/>
            <family val="2"/>
          </rPr>
          <t xml:space="preserve">Lo articulan con ODS 6,9, 11,12, 14 y 15
</t>
        </r>
      </text>
    </comment>
    <comment ref="AG254" authorId="0" shapeId="0" xr:uid="{585448CE-79F5-4A66-B8F8-EC1541CC34B4}">
      <text>
        <r>
          <rPr>
            <b/>
            <sz val="9"/>
            <color indexed="81"/>
            <rFont val="Tahoma"/>
            <family val="2"/>
          </rPr>
          <t>Usuario:</t>
        </r>
        <r>
          <rPr>
            <sz val="9"/>
            <color indexed="81"/>
            <rFont val="Tahoma"/>
            <family val="2"/>
          </rPr>
          <t xml:space="preserve">
Revisar, no hay meta</t>
        </r>
      </text>
    </comment>
    <comment ref="BH254" authorId="1" shapeId="0" xr:uid="{B5124F11-5E27-4452-9810-22C74D3825A4}">
      <text>
        <r>
          <rPr>
            <sz val="11"/>
            <color theme="1"/>
            <rFont val="Arial"/>
            <family val="2"/>
          </rPr>
          <t xml:space="preserve">Lo articulan con ODS 6,9, 11,12, 14 y 15
</t>
        </r>
      </text>
    </comment>
    <comment ref="BH256" authorId="1" shapeId="0" xr:uid="{54CFA488-7F2F-4862-8B17-20D07944717F}">
      <text>
        <r>
          <rPr>
            <sz val="11"/>
            <color theme="1"/>
            <rFont val="Arial"/>
            <family val="2"/>
          </rPr>
          <t xml:space="preserve">Lo articulan con ODS 6,9, 11,12, 14 y 15
</t>
        </r>
      </text>
    </comment>
    <comment ref="AQ258" authorId="0" shapeId="0" xr:uid="{572D25D4-5078-41EA-B1A2-BF286D27079C}">
      <text>
        <r>
          <rPr>
            <b/>
            <sz val="9"/>
            <color indexed="81"/>
            <rFont val="Tahoma"/>
            <family val="2"/>
          </rPr>
          <t>Usuario:</t>
        </r>
        <r>
          <rPr>
            <sz val="9"/>
            <color indexed="81"/>
            <rFont val="Tahoma"/>
            <family val="2"/>
          </rPr>
          <t xml:space="preserve">
Se ajusto formato a %</t>
        </r>
      </text>
    </comment>
    <comment ref="BH258" authorId="1" shapeId="0" xr:uid="{7F727D31-4D15-4562-B7EB-0B547B3D786A}">
      <text>
        <r>
          <rPr>
            <sz val="11"/>
            <color theme="1"/>
            <rFont val="Arial"/>
            <family val="2"/>
          </rPr>
          <t xml:space="preserve">Lo articulan con ODS 6,9, 11,12, 14 y 15
</t>
        </r>
      </text>
    </comment>
    <comment ref="BH259" authorId="1" shapeId="0" xr:uid="{C9D2EF50-D6DD-41B0-B514-60B29402A968}">
      <text>
        <r>
          <rPr>
            <sz val="11"/>
            <color theme="1"/>
            <rFont val="Arial"/>
            <family val="2"/>
          </rPr>
          <t xml:space="preserve">Lo articulan con ODS 6,9, 11,12, 14 y 15
</t>
        </r>
      </text>
    </comment>
    <comment ref="AB260" authorId="0" shapeId="0" xr:uid="{5D95DC2B-889B-42B0-95FF-574B13E9E450}">
      <text>
        <r>
          <rPr>
            <b/>
            <sz val="9"/>
            <color indexed="81"/>
            <rFont val="Tahoma"/>
            <family val="2"/>
          </rPr>
          <t>Usuario:</t>
        </r>
        <r>
          <rPr>
            <sz val="9"/>
            <color indexed="81"/>
            <rFont val="Tahoma"/>
            <family val="2"/>
          </rPr>
          <t xml:space="preserve">
Ajustado por incporporación programa deficit</t>
        </r>
      </text>
    </comment>
    <comment ref="AC260" authorId="0" shapeId="0" xr:uid="{47961D1B-2FAB-4DB6-93D9-ABFDA560F5E3}">
      <text>
        <r>
          <rPr>
            <b/>
            <sz val="9"/>
            <color indexed="81"/>
            <rFont val="Tahoma"/>
            <family val="2"/>
          </rPr>
          <t>Usuario:</t>
        </r>
        <r>
          <rPr>
            <sz val="9"/>
            <color indexed="81"/>
            <rFont val="Tahoma"/>
            <family val="2"/>
          </rPr>
          <t xml:space="preserve">
Ajustado por incporporación programa deficit</t>
        </r>
      </text>
    </comment>
    <comment ref="AQ260" authorId="0" shapeId="0" xr:uid="{FE482178-3AFC-4B23-A695-3CD870FFB1A4}">
      <text>
        <r>
          <rPr>
            <b/>
            <sz val="9"/>
            <color indexed="81"/>
            <rFont val="Tahoma"/>
            <family val="2"/>
          </rPr>
          <t>Usuario:</t>
        </r>
        <r>
          <rPr>
            <sz val="9"/>
            <color indexed="81"/>
            <rFont val="Tahoma"/>
            <family val="2"/>
          </rPr>
          <t xml:space="preserve">
Se ajusto formato a %</t>
        </r>
      </text>
    </comment>
    <comment ref="BH262" authorId="1" shapeId="0" xr:uid="{9965DCE9-9792-4F0C-9154-B3B7E9BCC74C}">
      <text>
        <r>
          <rPr>
            <sz val="11"/>
            <color theme="1"/>
            <rFont val="Arial"/>
            <family val="2"/>
          </rPr>
          <t xml:space="preserve">Lo articulan con ODS 3, 8,9, 12, y 16
</t>
        </r>
      </text>
    </comment>
    <comment ref="AH264" authorId="0" shapeId="0" xr:uid="{77D6047C-9897-4776-8E76-2144A0002063}">
      <text>
        <r>
          <rPr>
            <b/>
            <sz val="9"/>
            <color indexed="81"/>
            <rFont val="Tahoma"/>
            <family val="2"/>
          </rPr>
          <t>Usuario:</t>
        </r>
        <r>
          <rPr>
            <sz val="9"/>
            <color indexed="81"/>
            <rFont val="Tahoma"/>
            <family val="2"/>
          </rPr>
          <t xml:space="preserve">
No tenian meta definida</t>
        </r>
      </text>
    </comment>
    <comment ref="AM264" authorId="0" shapeId="0" xr:uid="{06E74F4A-0173-4362-BF1B-5FCE78E45B63}">
      <text>
        <r>
          <rPr>
            <b/>
            <sz val="9"/>
            <color indexed="81"/>
            <rFont val="Tahoma"/>
            <family val="2"/>
          </rPr>
          <t>Usuario:</t>
        </r>
        <r>
          <rPr>
            <sz val="9"/>
            <color indexed="81"/>
            <rFont val="Tahoma"/>
            <family val="2"/>
          </rPr>
          <t xml:space="preserve">
No tenian meta definida</t>
        </r>
      </text>
    </comment>
    <comment ref="AQ267" authorId="0" shapeId="0" xr:uid="{22052EE0-6275-47D8-A495-27F03B3FA021}">
      <text>
        <r>
          <rPr>
            <b/>
            <sz val="9"/>
            <color indexed="81"/>
            <rFont val="Tahoma"/>
            <family val="2"/>
          </rPr>
          <t>Usuario:</t>
        </r>
        <r>
          <rPr>
            <sz val="9"/>
            <color indexed="81"/>
            <rFont val="Tahoma"/>
            <family val="2"/>
          </rPr>
          <t xml:space="preserve">
Se ajusto formato a %</t>
        </r>
      </text>
    </comment>
    <comment ref="BH267" authorId="1" shapeId="0" xr:uid="{9F965432-7D77-4E5C-AAF6-FEACA220B5F5}">
      <text>
        <r>
          <rPr>
            <sz val="11"/>
            <color theme="1"/>
            <rFont val="Arial"/>
            <family val="2"/>
          </rPr>
          <t xml:space="preserve">Lo articulan con ODS 3, 8,9, 12, y 16
</t>
        </r>
      </text>
    </comment>
    <comment ref="AQ268" authorId="0" shapeId="0" xr:uid="{DAC4FD32-73A9-4627-BE6C-B3F24EC8F929}">
      <text>
        <r>
          <rPr>
            <b/>
            <sz val="9"/>
            <color indexed="81"/>
            <rFont val="Tahoma"/>
            <family val="2"/>
          </rPr>
          <t>Usuario:</t>
        </r>
        <r>
          <rPr>
            <sz val="9"/>
            <color indexed="81"/>
            <rFont val="Tahoma"/>
            <family val="2"/>
          </rPr>
          <t xml:space="preserve">
Se ajusto formato a %</t>
        </r>
      </text>
    </comment>
    <comment ref="AG269" authorId="1" shapeId="0" xr:uid="{18D745CB-65BE-469C-B2BE-69069084CB1F}">
      <text>
        <r>
          <rPr>
            <sz val="11"/>
            <color theme="1"/>
            <rFont val="Arial"/>
            <family val="2"/>
          </rPr>
          <t>Revisar, no hay meta definida para este año</t>
        </r>
      </text>
    </comment>
    <comment ref="AQ269" authorId="0" shapeId="0" xr:uid="{BEBAD39A-E36D-4234-928A-B2346E5DA389}">
      <text>
        <r>
          <rPr>
            <b/>
            <sz val="9"/>
            <color indexed="81"/>
            <rFont val="Tahoma"/>
            <family val="2"/>
          </rPr>
          <t>Usuario:</t>
        </r>
        <r>
          <rPr>
            <sz val="9"/>
            <color indexed="81"/>
            <rFont val="Tahoma"/>
            <family val="2"/>
          </rPr>
          <t xml:space="preserve">
Se ajusto formato a %</t>
        </r>
      </text>
    </comment>
    <comment ref="BH269" authorId="1" shapeId="0" xr:uid="{EE66D9B0-88A8-44A5-B152-EED401EDFB26}">
      <text>
        <r>
          <rPr>
            <sz val="11"/>
            <color theme="1"/>
            <rFont val="Arial"/>
            <family val="2"/>
          </rPr>
          <t xml:space="preserve">Lo articulan con ODS 3, 8,9, 12, y 16
</t>
        </r>
      </text>
    </comment>
    <comment ref="AQ272" authorId="0" shapeId="0" xr:uid="{239FDDA2-7E9E-4645-A0E1-814F6A72DC3B}">
      <text>
        <r>
          <rPr>
            <b/>
            <sz val="9"/>
            <color indexed="81"/>
            <rFont val="Tahoma"/>
            <family val="2"/>
          </rPr>
          <t>Usuario:</t>
        </r>
        <r>
          <rPr>
            <sz val="9"/>
            <color indexed="81"/>
            <rFont val="Tahoma"/>
            <family val="2"/>
          </rPr>
          <t xml:space="preserve">
Se ajusto formato a %</t>
        </r>
      </text>
    </comment>
    <comment ref="BH272" authorId="1" shapeId="0" xr:uid="{333A9259-5BC3-410D-9B10-46FE8010DFB2}">
      <text>
        <r>
          <rPr>
            <sz val="11"/>
            <color theme="1"/>
            <rFont val="Arial"/>
            <family val="2"/>
          </rPr>
          <t xml:space="preserve">Articulan con ODS 16
</t>
        </r>
      </text>
    </comment>
    <comment ref="AQ273" authorId="0" shapeId="0" xr:uid="{D4209E05-D001-475E-90BE-670156946E92}">
      <text>
        <r>
          <rPr>
            <b/>
            <sz val="9"/>
            <color indexed="81"/>
            <rFont val="Tahoma"/>
            <family val="2"/>
          </rPr>
          <t>Usuario:</t>
        </r>
        <r>
          <rPr>
            <sz val="9"/>
            <color indexed="81"/>
            <rFont val="Tahoma"/>
            <family val="2"/>
          </rPr>
          <t xml:space="preserve">
Se ajusto formato a %</t>
        </r>
      </text>
    </comment>
    <comment ref="BH273" authorId="1" shapeId="0" xr:uid="{069F8946-2F08-464E-A816-F84C80A4858F}">
      <text>
        <r>
          <rPr>
            <sz val="11"/>
            <color theme="1"/>
            <rFont val="Arial"/>
            <family val="2"/>
          </rPr>
          <t xml:space="preserve">Articulan con ODS 16
</t>
        </r>
      </text>
    </comment>
    <comment ref="BH274" authorId="1" shapeId="0" xr:uid="{78D80793-BA9C-45E3-98B2-682A7AD66CF5}">
      <text>
        <r>
          <rPr>
            <sz val="11"/>
            <color theme="1"/>
            <rFont val="Arial"/>
            <family val="2"/>
          </rPr>
          <t xml:space="preserve">Articulan con ODS 16
</t>
        </r>
      </text>
    </comment>
    <comment ref="BH277" authorId="1" shapeId="0" xr:uid="{8C634F9B-0227-4595-94E0-CD2943BDE69E}">
      <text>
        <r>
          <rPr>
            <sz val="11"/>
            <color theme="1"/>
            <rFont val="Arial"/>
            <family val="2"/>
          </rPr>
          <t xml:space="preserve">Articulan con ODS 16
</t>
        </r>
      </text>
    </comment>
    <comment ref="BH280" authorId="1" shapeId="0" xr:uid="{9144031E-E34F-451E-9241-64444F77B761}">
      <text>
        <r>
          <rPr>
            <sz val="11"/>
            <color theme="1"/>
            <rFont val="Arial"/>
            <family val="2"/>
          </rPr>
          <t xml:space="preserve">Articulan con ODS 16
</t>
        </r>
      </text>
    </comment>
    <comment ref="BH281" authorId="1" shapeId="0" xr:uid="{28793B9C-C94F-483D-9BC7-23ABDEACBB44}">
      <text>
        <r>
          <rPr>
            <sz val="11"/>
            <color theme="1"/>
            <rFont val="Arial"/>
            <family val="2"/>
          </rPr>
          <t xml:space="preserve">Articulan con ODS 16
</t>
        </r>
      </text>
    </comment>
    <comment ref="BH283" authorId="1" shapeId="0" xr:uid="{363058FB-24F4-4FC9-8047-665DF6EF3D95}">
      <text>
        <r>
          <rPr>
            <sz val="11"/>
            <color theme="1"/>
            <rFont val="Arial"/>
            <family val="2"/>
          </rPr>
          <t xml:space="preserve">Articulan con ODS 16
</t>
        </r>
      </text>
    </comment>
    <comment ref="BH285" authorId="1" shapeId="0" xr:uid="{0EAE5FCB-ACEC-4F1A-8B1F-4846DC1805E5}">
      <text>
        <r>
          <rPr>
            <sz val="11"/>
            <color theme="1"/>
            <rFont val="Arial"/>
            <family val="2"/>
          </rPr>
          <t xml:space="preserve">Articulan con ODS 16
</t>
        </r>
      </text>
    </comment>
    <comment ref="AQ286" authorId="0" shapeId="0" xr:uid="{847084B4-848D-41CD-BD5A-A42275B79CDD}">
      <text>
        <r>
          <rPr>
            <b/>
            <sz val="9"/>
            <color indexed="81"/>
            <rFont val="Tahoma"/>
            <family val="2"/>
          </rPr>
          <t>Usuario:</t>
        </r>
        <r>
          <rPr>
            <sz val="9"/>
            <color indexed="81"/>
            <rFont val="Tahoma"/>
            <family val="2"/>
          </rPr>
          <t xml:space="preserve">
Se ajusta formato a %</t>
        </r>
      </text>
    </comment>
    <comment ref="AQ287" authorId="0" shapeId="0" xr:uid="{585F77BA-0DA1-44FB-80EA-684CA745B9FC}">
      <text>
        <r>
          <rPr>
            <b/>
            <sz val="9"/>
            <color indexed="81"/>
            <rFont val="Tahoma"/>
            <family val="2"/>
          </rPr>
          <t>Usuario:</t>
        </r>
        <r>
          <rPr>
            <sz val="9"/>
            <color indexed="81"/>
            <rFont val="Tahoma"/>
            <family val="2"/>
          </rPr>
          <t xml:space="preserve">
Se ajusta formato a %</t>
        </r>
      </text>
    </comment>
    <comment ref="AQ288" authorId="0" shapeId="0" xr:uid="{48AF1119-8C4C-4881-A0E8-5CFE6A085F2F}">
      <text>
        <r>
          <rPr>
            <b/>
            <sz val="9"/>
            <color indexed="81"/>
            <rFont val="Tahoma"/>
            <family val="2"/>
          </rPr>
          <t>Usuario:</t>
        </r>
        <r>
          <rPr>
            <sz val="9"/>
            <color indexed="81"/>
            <rFont val="Tahoma"/>
            <family val="2"/>
          </rPr>
          <t xml:space="preserve">
Se ajusta formato a %</t>
        </r>
      </text>
    </comment>
    <comment ref="BH288" authorId="1" shapeId="0" xr:uid="{98A9692C-008B-4F25-844E-98E81770892F}">
      <text>
        <r>
          <rPr>
            <sz val="11"/>
            <color theme="1"/>
            <rFont val="Arial"/>
            <family val="2"/>
          </rPr>
          <t xml:space="preserve">articulado con ODS 7 y 11
</t>
        </r>
      </text>
    </comment>
    <comment ref="AQ289" authorId="0" shapeId="0" xr:uid="{F7636CAF-FC77-4868-AE76-8EC35B1E68F5}">
      <text>
        <r>
          <rPr>
            <b/>
            <sz val="9"/>
            <color indexed="81"/>
            <rFont val="Tahoma"/>
            <family val="2"/>
          </rPr>
          <t>Usuario:</t>
        </r>
        <r>
          <rPr>
            <sz val="9"/>
            <color indexed="81"/>
            <rFont val="Tahoma"/>
            <family val="2"/>
          </rPr>
          <t xml:space="preserve">
Se ajusta formato a %</t>
        </r>
      </text>
    </comment>
    <comment ref="BH290" authorId="1" shapeId="0" xr:uid="{3AA12302-3D02-4B8E-A8DA-849FF58E7DAE}">
      <text>
        <r>
          <rPr>
            <sz val="11"/>
            <color theme="1"/>
            <rFont val="Arial"/>
            <family val="2"/>
          </rPr>
          <t xml:space="preserve">articulado con ODS 3,8, 9 y 16
</t>
        </r>
      </text>
    </comment>
    <comment ref="AQ291" authorId="0" shapeId="0" xr:uid="{89541F70-BA50-4812-9865-352006527CBF}">
      <text>
        <r>
          <rPr>
            <b/>
            <sz val="9"/>
            <color indexed="81"/>
            <rFont val="Tahoma"/>
            <family val="2"/>
          </rPr>
          <t>Usuario:</t>
        </r>
        <r>
          <rPr>
            <sz val="9"/>
            <color indexed="81"/>
            <rFont val="Tahoma"/>
            <family val="2"/>
          </rPr>
          <t xml:space="preserve">
Se ajusta formato a %</t>
        </r>
      </text>
    </comment>
    <comment ref="BH291" authorId="1" shapeId="0" xr:uid="{1D4B10FC-45F1-4141-961E-CCBF6D129C9E}">
      <text>
        <r>
          <rPr>
            <sz val="11"/>
            <color theme="1"/>
            <rFont val="Arial"/>
            <family val="2"/>
          </rPr>
          <t xml:space="preserve">articulado con ODS 3,8, 9 y 16
</t>
        </r>
      </text>
    </comment>
    <comment ref="BH292" authorId="1" shapeId="0" xr:uid="{7A883C86-B7EC-459D-9E16-D778E5DEF60F}">
      <text>
        <r>
          <rPr>
            <sz val="11"/>
            <color theme="1"/>
            <rFont val="Arial"/>
            <family val="2"/>
          </rPr>
          <t xml:space="preserve">articulado con ODS 3,8, 9 y 16
</t>
        </r>
      </text>
    </comment>
    <comment ref="AH296" authorId="0" shapeId="0" xr:uid="{FE9DE7CF-8AD8-4E80-B3AB-8177F43977C0}">
      <text>
        <r>
          <rPr>
            <b/>
            <sz val="9"/>
            <color indexed="81"/>
            <rFont val="Tahoma"/>
            <family val="2"/>
          </rPr>
          <t>Usuario:</t>
        </r>
        <r>
          <rPr>
            <sz val="9"/>
            <color indexed="81"/>
            <rFont val="Tahoma"/>
            <family val="2"/>
          </rPr>
          <t xml:space="preserve">
No se habia sumado lo del deficit de vigencia</t>
        </r>
      </text>
    </comment>
    <comment ref="AS296" authorId="0" shapeId="0" xr:uid="{80610CB4-7517-4BBB-B1F8-28BA8807DE52}">
      <text>
        <r>
          <rPr>
            <b/>
            <sz val="9"/>
            <color indexed="81"/>
            <rFont val="Tahoma"/>
            <family val="2"/>
          </rPr>
          <t>Usuario:</t>
        </r>
        <r>
          <rPr>
            <sz val="9"/>
            <color indexed="81"/>
            <rFont val="Tahoma"/>
            <family val="2"/>
          </rPr>
          <t xml:space="preserve">
Informe 2020: 19.669.219.081,06</t>
        </r>
      </text>
    </comment>
    <comment ref="AS299" authorId="0" shapeId="0" xr:uid="{6525207C-3F5E-4B87-AAC4-67DDE1D8BCAC}">
      <text>
        <r>
          <rPr>
            <b/>
            <sz val="9"/>
            <color indexed="81"/>
            <rFont val="Tahoma"/>
            <family val="2"/>
          </rPr>
          <t>Usuario:</t>
        </r>
        <r>
          <rPr>
            <sz val="9"/>
            <color indexed="81"/>
            <rFont val="Tahoma"/>
            <family val="2"/>
          </rPr>
          <t xml:space="preserve">
Informe 2020: 19.669.219.081,06</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E23" authorId="0" shapeId="0" xr:uid="{00000000-0006-0000-1F00-000001000000}">
      <text>
        <r>
          <rPr>
            <b/>
            <sz val="9"/>
            <color indexed="81"/>
            <rFont val="Tahoma"/>
            <family val="2"/>
          </rPr>
          <t>Usuario:</t>
        </r>
        <r>
          <rPr>
            <sz val="9"/>
            <color indexed="81"/>
            <rFont val="Tahoma"/>
            <family val="2"/>
          </rPr>
          <t xml:space="preserve">
Información que se encuentra en Anexo 1 Columna 12</t>
        </r>
      </text>
    </comment>
    <comment ref="F23" authorId="0" shapeId="0" xr:uid="{00000000-0006-0000-1F00-000002000000}">
      <text>
        <r>
          <rPr>
            <b/>
            <sz val="9"/>
            <color indexed="81"/>
            <rFont val="Tahoma"/>
            <family val="2"/>
          </rPr>
          <t>Usuario:</t>
        </r>
        <r>
          <rPr>
            <sz val="9"/>
            <color indexed="81"/>
            <rFont val="Tahoma"/>
            <family val="2"/>
          </rPr>
          <t xml:space="preserve">
Información que se encuentra en Anexo 1 Columna 5 para la vigencia 2021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C5" authorId="0" shapeId="0" xr:uid="{00000000-0006-0000-0400-000001000000}">
      <text>
        <r>
          <rPr>
            <b/>
            <sz val="9"/>
            <color indexed="81"/>
            <rFont val="Tahoma"/>
            <family val="2"/>
          </rPr>
          <t>Usuario:</t>
        </r>
        <r>
          <rPr>
            <sz val="9"/>
            <color indexed="81"/>
            <rFont val="Tahoma"/>
            <family val="2"/>
          </rPr>
          <t xml:space="preserve">
Datos tomados de Informe 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Nubia Bello</author>
    <author>Usuario</author>
  </authors>
  <commentList>
    <comment ref="F20" authorId="0" shapeId="0" xr:uid="{B3234CE7-0034-4E08-B00F-0227FD543D58}">
      <text>
        <r>
          <rPr>
            <b/>
            <sz val="9"/>
            <color indexed="81"/>
            <rFont val="Tahoma"/>
            <family val="2"/>
          </rPr>
          <t>Nubia Bello:</t>
        </r>
        <r>
          <rPr>
            <sz val="9"/>
            <color indexed="81"/>
            <rFont val="Tahoma"/>
            <family val="2"/>
          </rPr>
          <t xml:space="preserve">
(Meta ajustada en Consejo Directivo mediante Acuerdo 008 de 2023. - Documento Técnico)</t>
        </r>
      </text>
    </comment>
    <comment ref="E57" authorId="1" shapeId="0" xr:uid="{00000000-0006-0000-0500-000001000000}">
      <text>
        <r>
          <rPr>
            <b/>
            <sz val="9"/>
            <color indexed="81"/>
            <rFont val="Tahoma"/>
            <family val="2"/>
          </rPr>
          <t>Usuario:</t>
        </r>
        <r>
          <rPr>
            <sz val="9"/>
            <color indexed="81"/>
            <rFont val="Tahoma"/>
            <family val="2"/>
          </rPr>
          <t xml:space="preserve">
Asigne un valor de ponderación para cada tipo de instrumento contemplado en la vigencia objeto de reporte. La suma debe ser 100%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Nubia Bello</author>
  </authors>
  <commentList>
    <comment ref="E22" authorId="0" shapeId="0" xr:uid="{0420B1CD-55BE-4383-95CF-F8E379818282}">
      <text>
        <r>
          <rPr>
            <b/>
            <sz val="9"/>
            <color indexed="81"/>
            <rFont val="Tahoma"/>
            <family val="2"/>
          </rPr>
          <t>Nubia Bello:</t>
        </r>
        <r>
          <rPr>
            <sz val="9"/>
            <color indexed="81"/>
            <rFont val="Tahoma"/>
            <family val="2"/>
          </rPr>
          <t xml:space="preserve">
Se elaboraron los documentos técnicos para los PORH de: Sabanagrande - Santo Tomás - Palmar de Varela</t>
        </r>
      </text>
    </comment>
    <comment ref="F22" authorId="0" shapeId="0" xr:uid="{135651B7-E938-4C69-A159-44188FDA9C07}">
      <text>
        <r>
          <rPr>
            <b/>
            <sz val="9"/>
            <color indexed="81"/>
            <rFont val="Tahoma"/>
            <family val="2"/>
          </rPr>
          <t>Nubia Bello:</t>
        </r>
        <r>
          <rPr>
            <sz val="9"/>
            <color indexed="81"/>
            <rFont val="Tahoma"/>
            <family val="2"/>
          </rPr>
          <t xml:space="preserve">
Se cumplió en la vigencia 2022 - Malambo 
Contrato No.279 del 2022 cuyo objeto contractual es: “FORMULAR EL PLAN DE ORDENAMIENTO DEL RECURSO HÍDRICO Y EL ACOTAMIENTO DE LA RONDA HÍDRICA PARA LA CIÉNAGA DE MALAMBO EN EL DEPARTAMENTO DEL ATLÁNTICO.”, la corporación desarrolló las actividades necesarias para la elaboración de este documento mediante un plan operativo para el proceso del ordenamiento de la ciénaga de Malambo.</t>
        </r>
      </text>
    </comment>
    <comment ref="H22" authorId="0" shapeId="0" xr:uid="{A7205C1B-36D8-4C74-AFE1-5B12781720BA}">
      <text>
        <r>
          <rPr>
            <b/>
            <sz val="9"/>
            <color indexed="81"/>
            <rFont val="Tahoma"/>
            <family val="2"/>
          </rPr>
          <t>Nubia Bello:</t>
        </r>
        <r>
          <rPr>
            <sz val="9"/>
            <color indexed="81"/>
            <rFont val="Tahoma"/>
            <family val="2"/>
          </rPr>
          <t xml:space="preserve">
Se suscribió Contrato No. 257/ 2023.
IDL INGENIERIA DE DESARROLLO LIMPIO S.A.S OBJETO: FORMULAR EL PLAN DE ORDENAMIENTO DEL RECURSO HÍDRICO Y EL ACOTAMIENTO DE LA RONDA HIDRICA PARA LA CIENAGA LA BAHÍA EN EL DEPARTAMENTO DEL ATLÁNTICO.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Nubia Bello</author>
  </authors>
  <commentList>
    <comment ref="D22" authorId="0" shapeId="0" xr:uid="{97906039-8311-4A59-BC55-60F372BFC5B4}">
      <text>
        <r>
          <rPr>
            <b/>
            <sz val="9"/>
            <color indexed="81"/>
            <rFont val="Tahoma"/>
            <family val="2"/>
          </rPr>
          <t>Nubia Bello:</t>
        </r>
        <r>
          <rPr>
            <sz val="9"/>
            <color indexed="81"/>
            <rFont val="Tahoma"/>
            <family val="2"/>
          </rPr>
          <t xml:space="preserve">
Meta ajustada en Consejo Directivo mediante Acuerdo No. 008 de 2023 - Documento Sintesis del Proceso de Declaratoria.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D20" authorId="0" shapeId="0" xr:uid="{00000000-0006-0000-1100-000001000000}">
      <text>
        <r>
          <rPr>
            <b/>
            <sz val="9"/>
            <color indexed="81"/>
            <rFont val="Tahoma"/>
            <family val="2"/>
          </rPr>
          <t>Usuario:</t>
        </r>
        <r>
          <rPr>
            <sz val="9"/>
            <color indexed="81"/>
            <rFont val="Tahoma"/>
            <family val="2"/>
          </rPr>
          <t xml:space="preserve">
Revisar y ajustar de acuerdo a lo que tienen en la jurisdicción</t>
        </r>
      </text>
    </comment>
    <comment ref="D21" authorId="0" shapeId="0" xr:uid="{00000000-0006-0000-1100-000002000000}">
      <text>
        <r>
          <rPr>
            <b/>
            <sz val="9"/>
            <color indexed="81"/>
            <rFont val="Tahoma"/>
            <family val="2"/>
          </rPr>
          <t>Usuario:</t>
        </r>
        <r>
          <rPr>
            <sz val="9"/>
            <color indexed="81"/>
            <rFont val="Tahoma"/>
            <family val="2"/>
          </rPr>
          <t xml:space="preserve">
Revisar y ajustar de acuerdo a lo que tienen en la jurisdicción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D19" authorId="0" shapeId="0" xr:uid="{00000000-0006-0000-1200-000001000000}">
      <text>
        <r>
          <rPr>
            <b/>
            <sz val="9"/>
            <color indexed="81"/>
            <rFont val="Tahoma"/>
            <family val="2"/>
          </rPr>
          <t>Usuario:</t>
        </r>
        <r>
          <rPr>
            <sz val="9"/>
            <color indexed="81"/>
            <rFont val="Tahoma"/>
            <family val="2"/>
          </rPr>
          <t xml:space="preserve">
Revisar y ajustar de acuerdo a lo que tienen en la jurisdicción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Nubia Bello</author>
  </authors>
  <commentList>
    <comment ref="D27" authorId="0" shapeId="0" xr:uid="{D57F911F-215C-47B9-B0CA-458423D985EA}">
      <text>
        <r>
          <rPr>
            <b/>
            <sz val="9"/>
            <color indexed="81"/>
            <rFont val="Tahoma"/>
            <family val="2"/>
          </rPr>
          <t>Nubia Bello:</t>
        </r>
        <r>
          <rPr>
            <sz val="9"/>
            <color indexed="81"/>
            <rFont val="Tahoma"/>
            <family val="2"/>
          </rPr>
          <t xml:space="preserve">
No tiene meta programada para la vigencia 2023.</t>
        </r>
      </text>
    </comment>
    <comment ref="D31" authorId="0" shapeId="0" xr:uid="{0D7F94CB-9BBF-444B-A73F-57831B9672CF}">
      <text>
        <r>
          <rPr>
            <b/>
            <sz val="9"/>
            <color indexed="81"/>
            <rFont val="Tahoma"/>
            <family val="2"/>
          </rPr>
          <t>Nubia Bello:</t>
        </r>
        <r>
          <rPr>
            <sz val="9"/>
            <color indexed="81"/>
            <rFont val="Tahoma"/>
            <family val="2"/>
          </rPr>
          <t xml:space="preserve">
No tiene meta programada para la vigencia 2023</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Nubia Bello</author>
  </authors>
  <commentList>
    <comment ref="D39" authorId="0" shapeId="0" xr:uid="{B093B56C-05C5-4C8F-9C08-7D30CC2D7A4C}">
      <text>
        <r>
          <rPr>
            <b/>
            <sz val="9"/>
            <color indexed="81"/>
            <rFont val="Tahoma"/>
            <family val="2"/>
          </rPr>
          <t>Nubia Bello:</t>
        </r>
        <r>
          <rPr>
            <sz val="9"/>
            <color indexed="81"/>
            <rFont val="Tahoma"/>
            <family val="2"/>
          </rPr>
          <t xml:space="preserve">
No tiene meta programa 2023</t>
        </r>
      </text>
    </comment>
    <comment ref="D44" authorId="0" shapeId="0" xr:uid="{7070443D-C566-47B7-93A9-F4D2A3C21BBD}">
      <text>
        <r>
          <rPr>
            <b/>
            <sz val="9"/>
            <color indexed="81"/>
            <rFont val="Tahoma"/>
            <family val="2"/>
          </rPr>
          <t>Nubia Bello:</t>
        </r>
        <r>
          <rPr>
            <sz val="9"/>
            <color indexed="81"/>
            <rFont val="Tahoma"/>
            <family val="2"/>
          </rPr>
          <t xml:space="preserve">
No tiene meta programada 2023</t>
        </r>
      </text>
    </comment>
  </commentList>
</comments>
</file>

<file path=xl/sharedStrings.xml><?xml version="1.0" encoding="utf-8"?>
<sst xmlns="http://schemas.openxmlformats.org/spreadsheetml/2006/main" count="8367" uniqueCount="2818">
  <si>
    <r>
      <t>Porcentaje de avance en la formulación y/o ajuste de los Planes de Ordenación y Manejo de Cuencas (POMCAS), Planes de Manejo de Acuíferos (PMA) y Planes de Manejo de Microcuencas (PMM</t>
    </r>
    <r>
      <rPr>
        <b/>
        <sz val="9"/>
        <color rgb="FF000000"/>
        <rFont val="Calibri"/>
        <family val="2"/>
        <scheme val="minor"/>
      </rPr>
      <t>)</t>
    </r>
  </si>
  <si>
    <t>(Hoja metodológica versión 1,00)</t>
  </si>
  <si>
    <t>Metodología de cálculo</t>
  </si>
  <si>
    <t>Para su cálculo, se diligencia la siguiente información:</t>
  </si>
  <si>
    <t>Número de cuencas objeto de POMCA en la jurisdicción de la CAR según la zonificación hidrográfica:</t>
  </si>
  <si>
    <t>Número de cuencas objeto de POMCA priorizadas para el cuatrienio en la jurisdicción de la CAR:</t>
  </si>
  <si>
    <t>Datos generales de los POMCAS:</t>
  </si>
  <si>
    <t>Cuencas, acuíferos y microcuencas objeto de planes en la jurisdicción de la CAR</t>
  </si>
  <si>
    <t>Tipo de Plan (a)</t>
  </si>
  <si>
    <t>Código (b)</t>
  </si>
  <si>
    <t>Nombre de Cuenca, Microcuenca, Acuífero</t>
  </si>
  <si>
    <t>POMCA</t>
  </si>
  <si>
    <t>PMA</t>
  </si>
  <si>
    <t>PMM</t>
  </si>
  <si>
    <t>Utilice tantas líneas cuantas sean necesarias.</t>
  </si>
  <si>
    <r>
      <t>(a)</t>
    </r>
    <r>
      <rPr>
        <sz val="7"/>
        <color rgb="FF000000"/>
        <rFont val="Times New Roman"/>
        <family val="1"/>
      </rPr>
      <t xml:space="preserve">     </t>
    </r>
    <r>
      <rPr>
        <sz val="9"/>
        <color rgb="FF000000"/>
        <rFont val="Calibri"/>
        <family val="2"/>
      </rPr>
      <t>POMCA, PMA, PMM</t>
    </r>
  </si>
  <si>
    <r>
      <t>(b)</t>
    </r>
    <r>
      <rPr>
        <sz val="7"/>
        <color rgb="FF000000"/>
        <rFont val="Times New Roman"/>
        <family val="1"/>
      </rPr>
      <t xml:space="preserve">     </t>
    </r>
    <r>
      <rPr>
        <sz val="9"/>
        <color rgb="FF000000"/>
        <rFont val="Calibri"/>
        <family val="2"/>
      </rPr>
      <t>Si aplica</t>
    </r>
  </si>
  <si>
    <r>
      <t>(c)</t>
    </r>
    <r>
      <rPr>
        <sz val="7"/>
        <color rgb="FF000000"/>
        <rFont val="Times New Roman"/>
        <family val="1"/>
      </rPr>
      <t xml:space="preserve">     </t>
    </r>
    <r>
      <rPr>
        <sz val="9"/>
        <color rgb="FF000000"/>
        <rFont val="Calibri"/>
        <family val="2"/>
      </rPr>
      <t>Procesos formales previos, En Fase de Aprestamiento, Diagnóstico, En Fase de Prospectiva y Zonificación Ambiental, en Fase de Formulación y Aprobado. Si está aprobado, escriba el número del acto administrativo.</t>
    </r>
  </si>
  <si>
    <t>N</t>
  </si>
  <si>
    <t>Año 1</t>
  </si>
  <si>
    <t>Año 2</t>
  </si>
  <si>
    <t>Año 3</t>
  </si>
  <si>
    <t>Año 4</t>
  </si>
  <si>
    <t>Utilice tantas líneas cuantas sean necesarias e indique las metas anuales teniendo como base la ponderación establecida para cada fase, hasta alcanzar el 100% con la aprobación del plan.</t>
  </si>
  <si>
    <t>Reporte de porcentaje de avance en la formulación de cada plan (*) (%)</t>
  </si>
  <si>
    <t>Código</t>
  </si>
  <si>
    <t>(*) Para el caso de los POMCA, el avance alcanza el 100% cuando ha sido aprobado a través del respectivo acto administrativo, pues de acuerdo con la Guía Técnica para la formulación de Planes de Ordenación y manejo de Cuencas Hidrográficas (Resolución 1907 de 2013), la fase de formulación concluye con la publicidad y aprobación del plan.</t>
  </si>
  <si>
    <t>Porcentaje de avance de la meta anual en la formulación de cada plan</t>
  </si>
  <si>
    <t>Porcentaje promedio de avance anual en la formulación de los planes</t>
  </si>
  <si>
    <t>Tipo de Plan</t>
  </si>
  <si>
    <t>Ponderación regional</t>
  </si>
  <si>
    <t>POMCAS</t>
  </si>
  <si>
    <r>
      <t xml:space="preserve">PAFP </t>
    </r>
    <r>
      <rPr>
        <vertAlign val="subscript"/>
        <sz val="9"/>
        <color rgb="FF000000"/>
        <rFont val="Calibri"/>
        <family val="2"/>
        <scheme val="minor"/>
      </rPr>
      <t>t</t>
    </r>
    <r>
      <rPr>
        <sz val="9"/>
        <color rgb="FF000000"/>
        <rFont val="Calibri"/>
        <family val="2"/>
        <scheme val="minor"/>
      </rPr>
      <t xml:space="preserve"> = Porcentaje de avance en la formulación y/o ajuste de los Planes de Ordenación y Manejo de Cuencas (POMCAS), Planes de Manejo de Acuíferos (PMA) y Planes de Manejo de Microcuencas (PMM)</t>
    </r>
  </si>
  <si>
    <t>Interpretación</t>
  </si>
  <si>
    <t>El indicador hace seguimiento a la función de planificación ambiental relacionada con el recurso hídrico a cargo de las corporaciones autónomas regionales. Cuanto más cercano a cien por ciento, mayor es el cumplimiento de las metas establecidas en la planificación de dicho recurso.</t>
  </si>
  <si>
    <t>Restricciones o Limitaciones</t>
  </si>
  <si>
    <t>Teniendo en cuenta que la formulación de los POMCAS, PMA y PMM que realizan las Corporaciones Autónomas Regionales y de Desarrollo Sostenible en el marco de sus competencias obedecen a procesos técnicos y sociales particulares de cada región, se pueden presentar situaciones de orden operativo, político y social que pueden afectar los cronogramas definidos para la formulación de dichos instrumentos de planificación.</t>
  </si>
  <si>
    <t>Responsable del reporte de las variables del indicador</t>
  </si>
  <si>
    <t>Entidad</t>
  </si>
  <si>
    <t>Dependencia</t>
  </si>
  <si>
    <t>Nombre del funcionario</t>
  </si>
  <si>
    <t>Cargo</t>
  </si>
  <si>
    <t>Correo electrónico</t>
  </si>
  <si>
    <t>Teléfono</t>
  </si>
  <si>
    <t>Dirección</t>
  </si>
  <si>
    <t>Responsable del cálculo del indicador</t>
  </si>
  <si>
    <t>Ministerio de Ambiente y Desarrollo Sostenible MADS</t>
  </si>
  <si>
    <t>Dirección de Ordenamiento Territorial y Coordinación del Sistema Ambiental – SINA</t>
  </si>
  <si>
    <t xml:space="preserve">Información sobre la Hoja Metodológica </t>
  </si>
  <si>
    <t>Fecha</t>
  </si>
  <si>
    <t>Versión</t>
  </si>
  <si>
    <t>Datos del autor o de quien ajustó la hoja metodológica</t>
  </si>
  <si>
    <t>Descripción de los ajustes</t>
  </si>
  <si>
    <r>
      <t>Hoja Metodológica de referencia:</t>
    </r>
    <r>
      <rPr>
        <sz val="9"/>
        <color rgb="FF000000"/>
        <rFont val="Calibri"/>
        <family val="2"/>
        <scheme val="minor"/>
      </rPr>
      <t xml:space="preserve"> MADS (2016). </t>
    </r>
    <r>
      <rPr>
        <i/>
        <sz val="9"/>
        <color rgb="FF000000"/>
        <rFont val="Calibri"/>
        <family val="2"/>
        <scheme val="minor"/>
      </rPr>
      <t>Hoja metodológica del Porcentaje de avance en la formulación de los Planes de Ordenación y Manejo de Cuencas (POMCAS), Planes de Manejo de Acuíferos (PMA) y Planes de Manejo de Microcuencas (PMM) (Versión 1.0).</t>
    </r>
    <r>
      <rPr>
        <sz val="9"/>
        <color rgb="FF000000"/>
        <rFont val="Calibri"/>
        <family val="2"/>
        <scheme val="minor"/>
      </rPr>
      <t xml:space="preserve"> Ministerio de Ambiente y Desarrollo Sostenible MADS, DGOAT-SINA y DRH.</t>
    </r>
  </si>
  <si>
    <t>Observaciones</t>
  </si>
  <si>
    <t>Descripción del Indicador</t>
  </si>
  <si>
    <t>Definición</t>
  </si>
  <si>
    <t>Es el porcentaje de avance en la formulación o ajuste de los Planes de Ordenación y Manejo de Cuencas (POMCAS), Planes de Manejo de Acuíferos (PMA) y Planes de Manejo de Microcuencas (PMM) priorizados por la Corporación.</t>
  </si>
  <si>
    <t>Pertinencia</t>
  </si>
  <si>
    <t>Finalidad / Propósito:</t>
  </si>
  <si>
    <t>El indicador mide el cumplimiento de las metas establecidas en relación con la formulación o ajuste de los Planes de Ordenación y Manejo de Cuencas (POMCAS), Planes de Manejo de Acuíferos (PMA) y Planes de Manejo de Microcuencas (PMM).</t>
  </si>
  <si>
    <t>Seguimiento a las metas del Plan Nacional de Desarrollo 2014-2018 (POMCAS formulados)</t>
  </si>
  <si>
    <t>Normatividad de soporte:</t>
  </si>
  <si>
    <t>Ley 99 de 1993.</t>
  </si>
  <si>
    <t>Decreto 1076 de 2015.</t>
  </si>
  <si>
    <t>Resolución 1907 de 2013.</t>
  </si>
  <si>
    <t>Resolución 509 de 2013.</t>
  </si>
  <si>
    <t>Documentación de Referencia:</t>
  </si>
  <si>
    <t>Política Nacional para la Gestión Integral del Recurso Hídrico</t>
  </si>
  <si>
    <t>Plan Nacional de Desarrollo 2014-2018</t>
  </si>
  <si>
    <t>Guía Técnica para la formulación de Planes de Ordenación y manejo de Cuencas Hidrográficas.</t>
  </si>
  <si>
    <t>Metas / Estándares</t>
  </si>
  <si>
    <t>Marco conceptual</t>
  </si>
  <si>
    <t>El Plan de Ordenación y manejo de Cuencas Hidrográficas (POMCA) es el instrumento a través del cual se realiza la planeación del uso coordinado del suelo, de las aguas, de la flora y la fauna; y el manejo de la cuenca, entendido como la ejecución de obras y tratamientos, en la perspectiva de mantener el equilibrio entre el aprovechamiento social y económico de tales recursos, y la conservación de la estructura físico -biótica de la cuenca y particularmente del recurso hídrico (Artículo 2.2.3.1.5.1 del Decreto 1076 de 2015).</t>
  </si>
  <si>
    <r>
      <t>Plan de Ordenación y Manejo de Cuenca (POMCA)</t>
    </r>
    <r>
      <rPr>
        <sz val="9"/>
        <color rgb="FF000000"/>
        <rFont val="Calibri"/>
        <family val="2"/>
        <scheme val="minor"/>
      </rPr>
      <t>:</t>
    </r>
  </si>
  <si>
    <t>Para la elaboración o ajuste de los POMCAS, las Corporaciones Autónomas Regionales y de Desarrollo Sostenible deberán desarrollar los siguientes procesos formales previos, las fases e hitos establecidos en la Resolución 1907 de 2013:</t>
  </si>
  <si>
    <r>
      <t>1.</t>
    </r>
    <r>
      <rPr>
        <sz val="7"/>
        <color rgb="FF000000"/>
        <rFont val="Times New Roman"/>
        <family val="1"/>
      </rPr>
      <t xml:space="preserve">       </t>
    </r>
    <r>
      <rPr>
        <sz val="9"/>
        <color rgb="FF000000"/>
        <rFont val="Calibri"/>
        <family val="2"/>
        <scheme val="minor"/>
      </rPr>
      <t>Procesos formales previos (Priorización de Cuencas, Conformación o Reconformación de Comisiones Conjuntas, Declaratoria de Cuencas en Ordenación)</t>
    </r>
  </si>
  <si>
    <r>
      <t>2.</t>
    </r>
    <r>
      <rPr>
        <sz val="7"/>
        <color rgb="FF000000"/>
        <rFont val="Times New Roman"/>
        <family val="1"/>
      </rPr>
      <t xml:space="preserve">       </t>
    </r>
    <r>
      <rPr>
        <sz val="9"/>
        <color rgb="FF000000"/>
        <rFont val="Calibri"/>
        <family val="2"/>
        <scheme val="minor"/>
      </rPr>
      <t>Fase de Aprestamiento</t>
    </r>
  </si>
  <si>
    <r>
      <t>3.</t>
    </r>
    <r>
      <rPr>
        <sz val="7"/>
        <color rgb="FF000000"/>
        <rFont val="Times New Roman"/>
        <family val="1"/>
      </rPr>
      <t xml:space="preserve">       </t>
    </r>
    <r>
      <rPr>
        <sz val="9"/>
        <color rgb="FF000000"/>
        <rFont val="Calibri"/>
        <family val="2"/>
        <scheme val="minor"/>
      </rPr>
      <t>Fase Diagnóstico</t>
    </r>
  </si>
  <si>
    <r>
      <t>4.</t>
    </r>
    <r>
      <rPr>
        <sz val="7"/>
        <color rgb="FF000000"/>
        <rFont val="Times New Roman"/>
        <family val="1"/>
      </rPr>
      <t xml:space="preserve">       </t>
    </r>
    <r>
      <rPr>
        <sz val="9"/>
        <color rgb="FF000000"/>
        <rFont val="Calibri"/>
        <family val="2"/>
        <scheme val="minor"/>
      </rPr>
      <t>Fase de Prospectiva y Zonificación Ambiental</t>
    </r>
  </si>
  <si>
    <r>
      <t>5.</t>
    </r>
    <r>
      <rPr>
        <sz val="7"/>
        <color rgb="FF000000"/>
        <rFont val="Times New Roman"/>
        <family val="1"/>
      </rPr>
      <t xml:space="preserve">       </t>
    </r>
    <r>
      <rPr>
        <sz val="9"/>
        <color rgb="FF000000"/>
        <rFont val="Calibri"/>
        <family val="2"/>
        <scheme val="minor"/>
      </rPr>
      <t>Fase de Formulación</t>
    </r>
  </si>
  <si>
    <r>
      <t>Plan de Manejo de Acuíferos (PMA)</t>
    </r>
    <r>
      <rPr>
        <sz val="9"/>
        <color rgb="FF000000"/>
        <rFont val="Calibri"/>
        <family val="2"/>
        <scheme val="minor"/>
      </rPr>
      <t>:</t>
    </r>
  </si>
  <si>
    <t>Para la elaboración o ajuste de PMA con base en el Decreto 1076 de 2015 (Dto 1640 de 2012), las Corporaciones Autónomas Regionales y de Desarrollo Sostenible deberán desarrollar las siguientes fases:</t>
  </si>
  <si>
    <r>
      <t>1.</t>
    </r>
    <r>
      <rPr>
        <sz val="7"/>
        <color rgb="FF000000"/>
        <rFont val="Times New Roman"/>
        <family val="1"/>
      </rPr>
      <t xml:space="preserve">       </t>
    </r>
    <r>
      <rPr>
        <sz val="9"/>
        <color rgb="FF000000"/>
        <rFont val="Calibri"/>
        <family val="2"/>
        <scheme val="minor"/>
      </rPr>
      <t>Fase de Aprestamiento</t>
    </r>
  </si>
  <si>
    <r>
      <t>2.</t>
    </r>
    <r>
      <rPr>
        <sz val="7"/>
        <color rgb="FF000000"/>
        <rFont val="Times New Roman"/>
        <family val="1"/>
      </rPr>
      <t xml:space="preserve">       </t>
    </r>
    <r>
      <rPr>
        <sz val="9"/>
        <color rgb="FF000000"/>
        <rFont val="Calibri"/>
        <family val="2"/>
        <scheme val="minor"/>
      </rPr>
      <t>Fase Diagnóstico</t>
    </r>
  </si>
  <si>
    <r>
      <t>3.</t>
    </r>
    <r>
      <rPr>
        <sz val="7"/>
        <color rgb="FF000000"/>
        <rFont val="Times New Roman"/>
        <family val="1"/>
      </rPr>
      <t xml:space="preserve">       </t>
    </r>
    <r>
      <rPr>
        <sz val="9"/>
        <color rgb="FF000000"/>
        <rFont val="Calibri"/>
        <family val="2"/>
        <scheme val="minor"/>
      </rPr>
      <t>Fase de Formulación</t>
    </r>
  </si>
  <si>
    <r>
      <t>Plan de Manejo de Microcuencas (PMM)</t>
    </r>
    <r>
      <rPr>
        <sz val="9"/>
        <color rgb="FF000000"/>
        <rFont val="Calibri"/>
        <family val="2"/>
        <scheme val="minor"/>
      </rPr>
      <t>:</t>
    </r>
  </si>
  <si>
    <t>Para la elaboración o ajuste de PMM con base en el Decreto 1076 de 2015 (Dto 1640 de 2012), las Corporaciones Autónomas Regionales y de Desarrollo Sostenible deberán desarrollar las siguientes fases:</t>
  </si>
  <si>
    <r>
      <t>3.</t>
    </r>
    <r>
      <rPr>
        <i/>
        <sz val="7"/>
        <color rgb="FF000000"/>
        <rFont val="Times New Roman"/>
        <family val="1"/>
      </rPr>
      <t xml:space="preserve">       </t>
    </r>
    <r>
      <rPr>
        <sz val="9"/>
        <color rgb="FF000000"/>
        <rFont val="Calibri"/>
        <family val="2"/>
        <scheme val="minor"/>
      </rPr>
      <t>Fase de Formulación</t>
    </r>
  </si>
  <si>
    <t>Fórmula de cálculo</t>
  </si>
  <si>
    <t>Donde:</t>
  </si>
  <si>
    <r>
      <t xml:space="preserve">PAFP </t>
    </r>
    <r>
      <rPr>
        <vertAlign val="subscript"/>
        <sz val="9"/>
        <color rgb="FF000000"/>
        <rFont val="Calibri"/>
        <family val="2"/>
        <scheme val="minor"/>
      </rPr>
      <t>t</t>
    </r>
    <r>
      <rPr>
        <sz val="9"/>
        <color rgb="FF000000"/>
        <rFont val="Calibri"/>
        <family val="2"/>
        <scheme val="minor"/>
      </rPr>
      <t xml:space="preserve"> = Porcentaje de avance en la formulación de los Planes de Ordenación y Manejo de Cuencas (POMCAS), Planes de Manejo de Acuíferos (PMA) y Planes de Manejo de Microcuencas (PMM), en el tiempo t.</t>
    </r>
  </si>
  <si>
    <r>
      <t xml:space="preserve">PPAPOMCAS </t>
    </r>
    <r>
      <rPr>
        <vertAlign val="subscript"/>
        <sz val="9"/>
        <color rgb="FF000000"/>
        <rFont val="Calibri"/>
        <family val="2"/>
        <scheme val="minor"/>
      </rPr>
      <t>t</t>
    </r>
    <r>
      <rPr>
        <sz val="9"/>
        <color rgb="FF000000"/>
        <rFont val="Calibri"/>
        <family val="2"/>
        <scheme val="minor"/>
      </rPr>
      <t xml:space="preserve"> = Porcentaje promedio de avance en la formulación de los Planes de Ordenación y Manejo de Cuencas (POMCAS), en el tiempo t.</t>
    </r>
  </si>
  <si>
    <r>
      <t xml:space="preserve">PPAPMA </t>
    </r>
    <r>
      <rPr>
        <vertAlign val="subscript"/>
        <sz val="9"/>
        <color rgb="FF000000"/>
        <rFont val="Calibri"/>
        <family val="2"/>
        <scheme val="minor"/>
      </rPr>
      <t>t</t>
    </r>
    <r>
      <rPr>
        <sz val="9"/>
        <color rgb="FF000000"/>
        <rFont val="Calibri"/>
        <family val="2"/>
        <scheme val="minor"/>
      </rPr>
      <t xml:space="preserve"> = Porcentaje promedio de avance en la formulación de los Planes de Manejo de Acuíferos (PMA), en el tiempo t.</t>
    </r>
  </si>
  <si>
    <r>
      <t xml:space="preserve">PPAPMM </t>
    </r>
    <r>
      <rPr>
        <vertAlign val="subscript"/>
        <sz val="9"/>
        <color rgb="FF000000"/>
        <rFont val="Calibri"/>
        <family val="2"/>
        <scheme val="minor"/>
      </rPr>
      <t>t</t>
    </r>
    <r>
      <rPr>
        <sz val="9"/>
        <color rgb="FF000000"/>
        <rFont val="Calibri"/>
        <family val="2"/>
        <scheme val="minor"/>
      </rPr>
      <t xml:space="preserve"> = Porcentaje promedio de avance en la formulación de los Planes de Microcuencas (PMM), en el tiempo t.</t>
    </r>
  </si>
  <si>
    <t>a = ponderador de POMCAS</t>
  </si>
  <si>
    <t>b = ponderador de PMA</t>
  </si>
  <si>
    <t>c = ponderador de PMM</t>
  </si>
  <si>
    <t>a + b + c = 1</t>
  </si>
  <si>
    <t>Los ponderadores de POMCAS, PMA y PMM serán definidos por cada CAR teniendo en cuenta las metas de los diferentes tipos de planes y las condiciones particulares regionales.</t>
  </si>
  <si>
    <t>Los ponderadores de las fases de POMCAS, PMA y PMM en el cuatrienio son los siguientes:</t>
  </si>
  <si>
    <r>
      <t>Plan de Ordenación y Manejo de Cuenca (POMCA)</t>
    </r>
    <r>
      <rPr>
        <sz val="9"/>
        <color rgb="FF000000"/>
        <rFont val="Calibri"/>
        <family val="2"/>
        <scheme val="minor"/>
      </rPr>
      <t xml:space="preserve">: </t>
    </r>
  </si>
  <si>
    <t>Fase</t>
  </si>
  <si>
    <t>Ponderación fase</t>
  </si>
  <si>
    <t>Ponderación acumulada</t>
  </si>
  <si>
    <r>
      <t>1.</t>
    </r>
    <r>
      <rPr>
        <sz val="7"/>
        <color rgb="FF000000"/>
        <rFont val="Times New Roman"/>
        <family val="1"/>
      </rPr>
      <t xml:space="preserve"> </t>
    </r>
    <r>
      <rPr>
        <sz val="9"/>
        <color rgb="FF000000"/>
        <rFont val="Calibri"/>
        <family val="2"/>
        <scheme val="minor"/>
      </rPr>
      <t>Procesos formales previos</t>
    </r>
  </si>
  <si>
    <r>
      <t>2.</t>
    </r>
    <r>
      <rPr>
        <sz val="7"/>
        <color rgb="FF000000"/>
        <rFont val="Times New Roman"/>
        <family val="1"/>
      </rPr>
      <t xml:space="preserve"> </t>
    </r>
    <r>
      <rPr>
        <sz val="9"/>
        <color rgb="FF000000"/>
        <rFont val="Calibri"/>
        <family val="2"/>
        <scheme val="minor"/>
      </rPr>
      <t>Fase de Aprestamiento</t>
    </r>
  </si>
  <si>
    <r>
      <t>3.</t>
    </r>
    <r>
      <rPr>
        <sz val="7"/>
        <color rgb="FF000000"/>
        <rFont val="Times New Roman"/>
        <family val="1"/>
      </rPr>
      <t xml:space="preserve"> </t>
    </r>
    <r>
      <rPr>
        <sz val="9"/>
        <color rgb="FF000000"/>
        <rFont val="Calibri"/>
        <family val="2"/>
        <scheme val="minor"/>
      </rPr>
      <t>Fase Diagnóstico</t>
    </r>
  </si>
  <si>
    <r>
      <t>4.</t>
    </r>
    <r>
      <rPr>
        <sz val="7"/>
        <color rgb="FF000000"/>
        <rFont val="Times New Roman"/>
        <family val="1"/>
      </rPr>
      <t xml:space="preserve"> </t>
    </r>
    <r>
      <rPr>
        <sz val="9"/>
        <color rgb="FF000000"/>
        <rFont val="Calibri"/>
        <family val="2"/>
        <scheme val="minor"/>
      </rPr>
      <t>Fase de Prospectiva y Zonificación Ambiental</t>
    </r>
  </si>
  <si>
    <r>
      <t>5.</t>
    </r>
    <r>
      <rPr>
        <sz val="7"/>
        <color rgb="FF000000"/>
        <rFont val="Times New Roman"/>
        <family val="1"/>
      </rPr>
      <t xml:space="preserve"> </t>
    </r>
    <r>
      <rPr>
        <sz val="9"/>
        <color rgb="FF000000"/>
        <rFont val="Calibri"/>
        <family val="2"/>
        <scheme val="minor"/>
      </rPr>
      <t>Fase de Formulación</t>
    </r>
  </si>
  <si>
    <r>
      <t>1.</t>
    </r>
    <r>
      <rPr>
        <sz val="7"/>
        <color rgb="FF000000"/>
        <rFont val="Times New Roman"/>
        <family val="1"/>
      </rPr>
      <t xml:space="preserve">                </t>
    </r>
    <r>
      <rPr>
        <sz val="9"/>
        <color rgb="FF000000"/>
        <rFont val="Calibri"/>
        <family val="2"/>
        <scheme val="minor"/>
      </rPr>
      <t xml:space="preserve">Fase de Aprestamiento </t>
    </r>
  </si>
  <si>
    <r>
      <t>2.</t>
    </r>
    <r>
      <rPr>
        <sz val="7"/>
        <color rgb="FF000000"/>
        <rFont val="Times New Roman"/>
        <family val="1"/>
      </rPr>
      <t xml:space="preserve">                </t>
    </r>
    <r>
      <rPr>
        <sz val="9"/>
        <color rgb="FF000000"/>
        <rFont val="Calibri"/>
        <family val="2"/>
        <scheme val="minor"/>
      </rPr>
      <t>Fase Diagnóstico</t>
    </r>
  </si>
  <si>
    <r>
      <t>3.</t>
    </r>
    <r>
      <rPr>
        <sz val="7"/>
        <color rgb="FF000000"/>
        <rFont val="Times New Roman"/>
        <family val="1"/>
      </rPr>
      <t xml:space="preserve">                </t>
    </r>
    <r>
      <rPr>
        <sz val="9"/>
        <color rgb="FF000000"/>
        <rFont val="Calibri"/>
        <family val="2"/>
        <scheme val="minor"/>
      </rPr>
      <t>Fase de Formulación</t>
    </r>
  </si>
  <si>
    <r>
      <t>Plan de Manejo de Microcuencas</t>
    </r>
    <r>
      <rPr>
        <sz val="9"/>
        <color rgb="FF000000"/>
        <rFont val="Calibri"/>
        <family val="2"/>
        <scheme val="minor"/>
      </rPr>
      <t xml:space="preserve"> </t>
    </r>
  </si>
  <si>
    <r>
      <t>1.</t>
    </r>
    <r>
      <rPr>
        <sz val="7"/>
        <color rgb="FF000000"/>
        <rFont val="Times New Roman"/>
        <family val="1"/>
      </rPr>
      <t xml:space="preserve">                </t>
    </r>
    <r>
      <rPr>
        <sz val="9"/>
        <color rgb="FF000000"/>
        <rFont val="Calibri"/>
        <family val="2"/>
        <scheme val="minor"/>
      </rPr>
      <t>Fase de Aprestamiento</t>
    </r>
  </si>
  <si>
    <r>
      <t>Porcentaje de avance de la meta anual en la formulación de cada plan</t>
    </r>
    <r>
      <rPr>
        <sz val="9"/>
        <color rgb="FF000000"/>
        <rFont val="Calibri"/>
        <family val="2"/>
        <scheme val="minor"/>
      </rPr>
      <t xml:space="preserve"> (ejemplo: POMCA de Cuenca Río Frío)</t>
    </r>
  </si>
  <si>
    <t>Es resultado del cociente entre el avance en la formulación de cada plan y la meta anual en la formulación de un determinado plan, al cierre de cada vigencia.</t>
  </si>
  <si>
    <t xml:space="preserve"> * 100</t>
  </si>
  <si>
    <r>
      <t xml:space="preserve">PAMAP </t>
    </r>
    <r>
      <rPr>
        <vertAlign val="subscript"/>
        <sz val="9"/>
        <color rgb="FF000000"/>
        <rFont val="Calibri"/>
        <family val="2"/>
        <scheme val="minor"/>
      </rPr>
      <t>zt</t>
    </r>
    <r>
      <rPr>
        <sz val="9"/>
        <color rgb="FF000000"/>
        <rFont val="Calibri"/>
        <family val="2"/>
        <scheme val="minor"/>
      </rPr>
      <t xml:space="preserve"> = Porcentaje de avance de la meta anual del Plan z, en el tiempo t.</t>
    </r>
  </si>
  <si>
    <r>
      <t xml:space="preserve">PAFP </t>
    </r>
    <r>
      <rPr>
        <vertAlign val="subscript"/>
        <sz val="9"/>
        <color rgb="FF000000"/>
        <rFont val="Calibri"/>
        <family val="2"/>
        <scheme val="minor"/>
      </rPr>
      <t>zt</t>
    </r>
    <r>
      <rPr>
        <sz val="9"/>
        <color rgb="FF000000"/>
        <rFont val="Calibri"/>
        <family val="2"/>
        <scheme val="minor"/>
      </rPr>
      <t xml:space="preserve"> = Porcentaje de avance en la formulación del Plan z, en el tiempo t.</t>
    </r>
  </si>
  <si>
    <r>
      <t>MFP</t>
    </r>
    <r>
      <rPr>
        <vertAlign val="subscript"/>
        <sz val="9"/>
        <color rgb="FF000000"/>
        <rFont val="Calibri"/>
        <family val="2"/>
        <scheme val="minor"/>
      </rPr>
      <t xml:space="preserve"> zt</t>
    </r>
    <r>
      <rPr>
        <sz val="9"/>
        <color rgb="FF000000"/>
        <rFont val="Calibri"/>
        <family val="2"/>
        <scheme val="minor"/>
      </rPr>
      <t xml:space="preserve"> = Meta anual de avance (%) en la formulación del plan z, en el tiempo t.</t>
    </r>
  </si>
  <si>
    <r>
      <t xml:space="preserve">Porcentaje promedio de avance anual en la formulación de los planes </t>
    </r>
    <r>
      <rPr>
        <sz val="9"/>
        <color rgb="FF000000"/>
        <rFont val="Calibri"/>
        <family val="2"/>
        <scheme val="minor"/>
      </rPr>
      <t>(ejemplo: los POMCAS priorizados para el cuatrienio)</t>
    </r>
  </si>
  <si>
    <t>El cálculo del Porcentaje promedio de avance anual en la formulación de los planes se obtiene de la siguiente manera:</t>
  </si>
  <si>
    <r>
      <t xml:space="preserve">PPAP </t>
    </r>
    <r>
      <rPr>
        <vertAlign val="subscript"/>
        <sz val="9"/>
        <color rgb="FF000000"/>
        <rFont val="Calibri"/>
        <family val="2"/>
        <scheme val="minor"/>
      </rPr>
      <t>it</t>
    </r>
    <r>
      <rPr>
        <sz val="9"/>
        <color rgb="FF000000"/>
        <rFont val="Calibri"/>
        <family val="2"/>
        <scheme val="minor"/>
      </rPr>
      <t xml:space="preserve"> = Porcentaje promedio de avance anual en la formulación de los planes i, en el tiempo t.</t>
    </r>
  </si>
  <si>
    <r>
      <t xml:space="preserve">PAMAP </t>
    </r>
    <r>
      <rPr>
        <vertAlign val="subscript"/>
        <sz val="9"/>
        <color rgb="FF000000"/>
        <rFont val="Calibri"/>
        <family val="2"/>
        <scheme val="minor"/>
      </rPr>
      <t>zt</t>
    </r>
    <r>
      <rPr>
        <sz val="9"/>
        <color rgb="FF000000"/>
        <rFont val="Calibri"/>
        <family val="2"/>
        <scheme val="minor"/>
      </rPr>
      <t xml:space="preserve"> = Porcentaje de avance de la meta anual en la formulación del Plan z, en el tiempo t.</t>
    </r>
  </si>
  <si>
    <r>
      <t xml:space="preserve">N </t>
    </r>
    <r>
      <rPr>
        <vertAlign val="subscript"/>
        <sz val="9"/>
        <color rgb="FF000000"/>
        <rFont val="Calibri"/>
        <family val="2"/>
        <scheme val="minor"/>
      </rPr>
      <t>t</t>
    </r>
    <r>
      <rPr>
        <sz val="9"/>
        <color rgb="FF000000"/>
        <rFont val="Calibri"/>
        <family val="2"/>
        <scheme val="minor"/>
      </rPr>
      <t xml:space="preserve"> = número total de planes en el tiempo t</t>
    </r>
  </si>
  <si>
    <r>
      <t xml:space="preserve">i = </t>
    </r>
    <r>
      <rPr>
        <sz val="9"/>
        <color rgb="FF000000"/>
        <rFont val="Calibri"/>
        <family val="2"/>
        <scheme val="minor"/>
      </rPr>
      <t>Planes de Ordenación y Manejo de Cuencas (POMCAS), Planes de Manejo de Acuíferos (PMA) y Planes de Manejo de Microcuencas (PMM)</t>
    </r>
    <r>
      <rPr>
        <i/>
        <sz val="9"/>
        <color rgb="FF000000"/>
        <rFont val="Calibri"/>
        <family val="2"/>
        <scheme val="minor"/>
      </rPr>
      <t xml:space="preserve"> </t>
    </r>
  </si>
  <si>
    <t>Datos reportados por la Corporación</t>
  </si>
  <si>
    <t>Datos establecidos por el MADS</t>
  </si>
  <si>
    <t>Datos calculados por el sistema</t>
  </si>
  <si>
    <t>Porcentaje de cuerpos de agua con planes de ordenamiento del recurso hídrico (PORH) adoptados</t>
  </si>
  <si>
    <t>Es la relación entre el número de cuerpos de agua con planes de ordenamiento del recurso hídrico (PORH) adoptados y la meta de cuerpos de agua priorizados para la adopción de dichos planes por parte de la autoridad ambiental.</t>
  </si>
  <si>
    <t>El indicador mide el cumplimiento de las metas que la autoridad ambiental se ha propuesto alcanzar en relación con el número de cuerpos de agua con planes de ordenamiento del recurso hídrico (PORH) adoptados.</t>
  </si>
  <si>
    <t>Normatividad relacionada:</t>
  </si>
  <si>
    <t>Decreto Ley 2811/74, Decreto-Ley 1875 de 1979</t>
  </si>
  <si>
    <t>Ley 99 de 1993. Ley Marco del Medio Ambiente.</t>
  </si>
  <si>
    <t>Decreto 1076 de 2015,</t>
  </si>
  <si>
    <t>Resolución 509 de 2013. Define los lineamientos para la conformación de los Consejos de Cuenca y su participación en las fases del plan de ordenación y manejo de la cuenca</t>
  </si>
  <si>
    <t>Resolución 1907 de 2013. Expide la Guía técnica para la formulación de los planes de ordenación y manejo de cuencas hidrográficas.</t>
  </si>
  <si>
    <t>Resolución 1207 de 2014. Adopta disposiciones relacionadas con el uso de aguas residuales tratadas.</t>
  </si>
  <si>
    <t>Documentación de referencia:</t>
  </si>
  <si>
    <t>Política Nacional de Gestión Integral del Recurso Hídrico – PNGIRH.</t>
  </si>
  <si>
    <t>El Plan de Ordenamiento del Recurso Hídrico- PORH es el instrumento de planificación que se rige por lo dispuesto en el Decreto 1076 de 2015.</t>
  </si>
  <si>
    <r>
      <t xml:space="preserve">PPORHA </t>
    </r>
    <r>
      <rPr>
        <vertAlign val="subscript"/>
        <sz val="9"/>
        <color rgb="FF000000"/>
        <rFont val="Calibri"/>
        <family val="2"/>
        <scheme val="minor"/>
      </rPr>
      <t>t</t>
    </r>
    <r>
      <rPr>
        <sz val="9"/>
        <color rgb="FF000000"/>
        <rFont val="Calibri"/>
        <family val="2"/>
        <scheme val="minor"/>
      </rPr>
      <t xml:space="preserve"> = Porcentaje de cuerpos de agua con planes de ordenamiento del recurso hídrico (PORH) adoptados, en el tiempo t.</t>
    </r>
  </si>
  <si>
    <r>
      <t xml:space="preserve">PORHA </t>
    </r>
    <r>
      <rPr>
        <vertAlign val="subscript"/>
        <sz val="9"/>
        <color rgb="FF000000"/>
        <rFont val="Calibri"/>
        <family val="2"/>
        <scheme val="minor"/>
      </rPr>
      <t>t</t>
    </r>
    <r>
      <rPr>
        <sz val="9"/>
        <color rgb="FF000000"/>
        <rFont val="Calibri"/>
        <family val="2"/>
        <scheme val="minor"/>
      </rPr>
      <t xml:space="preserve"> = Número de Cuerpos de agua con planes de ordenamiento del recurso hídrico adoptados, en el tiempo t.</t>
    </r>
  </si>
  <si>
    <r>
      <t xml:space="preserve">MPORHA </t>
    </r>
    <r>
      <rPr>
        <vertAlign val="subscript"/>
        <sz val="9"/>
        <color rgb="FF000000"/>
        <rFont val="Calibri"/>
        <family val="2"/>
        <scheme val="minor"/>
      </rPr>
      <t>t</t>
    </r>
    <r>
      <rPr>
        <sz val="9"/>
        <color rgb="FF000000"/>
        <rFont val="Calibri"/>
        <family val="2"/>
        <scheme val="minor"/>
      </rPr>
      <t xml:space="preserve"> = Meta de Cuerpos de agua con plan de ordenamiento del recurso hídrico adoptados, en el tiempo t.</t>
    </r>
  </si>
  <si>
    <t>La meta de número de cuerpos de agua con planes de ordenamiento del recurso hídrico adoptados es establecida en el Plan de Acción de la Corporación.</t>
  </si>
  <si>
    <t>Número total de cuerpos de agua sujeto de reglamentación de planes de ordenamiento del recurso hídrico (PORH):</t>
  </si>
  <si>
    <t>Número total de Cuerpos de agua con plan de ordenamiento del recurso hídrico (PORH) priorizados por la Corporación para su adopción durante el cuatrienio:</t>
  </si>
  <si>
    <t>Variable</t>
  </si>
  <si>
    <t>Total</t>
  </si>
  <si>
    <t>A</t>
  </si>
  <si>
    <t>Meta de cuerpos de agua con planes de ordenamiento del recurso hídrico (PORH) adoptados MPORHA</t>
  </si>
  <si>
    <t>B</t>
  </si>
  <si>
    <t>Número de cuerpos de agua con planes de ordenamiento del recurso hídrico adoptados (PORHA)</t>
  </si>
  <si>
    <t>C</t>
  </si>
  <si>
    <t>Porcentaje de Cuerpos de agua con planes de ordenamiento del recurso hídrico adoptados (PPORHA) (C = B / A)</t>
  </si>
  <si>
    <t>Cuanto más cercano a cien por ciento, mayor es el cumplimiento de las metas que la autoridad ambiental se ha propuesto alcanzar en relación con el número de cuerpos de agua con planes de ordenamiento del recurso hídrico (PORH) adoptados.</t>
  </si>
  <si>
    <t>Se pueden presentar situaciones de orden operativo, político y social que pueden afectar la ejecución de los presupuestos y el cumplimiento de los cronogramas definidos en el Plan de Acción de la Corporación.</t>
  </si>
  <si>
    <t>Dirección de Ordenamiento Territorial y Coordinación del Sistema Ambiental - SINA</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</si>
  <si>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Cuerpos de agua con planes de ordenamiento del recurso hídrico (PORH) adoptados (Versión 1.0).</t>
    </r>
    <r>
      <rPr>
        <sz val="9"/>
        <color rgb="FF000000"/>
        <rFont val="Calibri"/>
        <family val="2"/>
        <scheme val="minor"/>
      </rPr>
      <t xml:space="preserve"> Ministerio de Ambiente y Desarrollo Sostenible, DGOAT-SINA y DRH.</t>
    </r>
  </si>
  <si>
    <t>Porcentaje de Planes de Saneamiento y Manejo de Vertimientos (PSMV) con seguimiento</t>
  </si>
  <si>
    <t>Es la relación entre el número de Planes de Saneamiento y Manejo de Vertimientos (PSMV) con seguimiento con respecto a la meta de seguimiento de dichos planes por parte de la autoridad ambiental.</t>
  </si>
  <si>
    <t>El indicador mide el cumplimiento de las metas que la autoridad ambiental se ha propuesto alcanzar en relación con el seguimiento a los Planes de Saneamiento y Manejo de Vertimientos (PSMV).</t>
  </si>
  <si>
    <t>Decreto 1076 de 2015</t>
  </si>
  <si>
    <t>Resolución SSPD 20151300054195 de 2015</t>
  </si>
  <si>
    <t>Resolución 1433 de 2004 del MAVDT</t>
  </si>
  <si>
    <t>Resolución 2145 de 2005 de MAVDT</t>
  </si>
  <si>
    <t>El prestador del servicio de alcantarillado como usuario del recurso hídrico, deberá dar cumplimiento a la norma de vertimiento vigente y contar con el respectivo permiso de vertimiento o con el Plan de Saneamiento y Manejo de Vertimientos – PSMV reglamentado por la Resolución 1433 de 2004 del Ministerio de Ambiente y Desarrollo Sostenible.</t>
  </si>
  <si>
    <t>Por su parte, las autoridades ambientales deberán realizar el seguimiento, control y verificación del cumplimiento de lo dispuesto en los permisos de vertimiento, los Planes de Cumplimiento y Planes de Saneamiento y Manejo de Vertimientos, y efectuarán inspecciones periódicas a todos los usuarios.</t>
  </si>
  <si>
    <t>El incumplimiento de los términos, condiciones y obligaciones previstos en el permiso de vertimiento, Plan de Cumplimiento o Plan de Saneamiento y Manejo de Vertimientos, dará lugar a la imposición de las medidas preventivas y sancionatorias, siguiendo el procedimiento previsto en la Ley 1333 de 2009 o la norma que la adicione, modifique o sustituya.</t>
  </si>
  <si>
    <r>
      <t xml:space="preserve">PPSMVCS </t>
    </r>
    <r>
      <rPr>
        <vertAlign val="subscript"/>
        <sz val="9"/>
        <color rgb="FF000000"/>
        <rFont val="Calibri"/>
        <family val="2"/>
        <scheme val="minor"/>
      </rPr>
      <t>t</t>
    </r>
    <r>
      <rPr>
        <sz val="9"/>
        <color rgb="FF000000"/>
        <rFont val="Calibri"/>
        <family val="2"/>
        <scheme val="minor"/>
      </rPr>
      <t xml:space="preserve"> = Porcentaje de Planes de Saneamiento y Manejo de Vertimientos (PSMV) con seguimiento, en el tiempo t.</t>
    </r>
  </si>
  <si>
    <r>
      <t xml:space="preserve">PSMVCS </t>
    </r>
    <r>
      <rPr>
        <vertAlign val="subscript"/>
        <sz val="9"/>
        <color rgb="FF000000"/>
        <rFont val="Calibri"/>
        <family val="2"/>
        <scheme val="minor"/>
      </rPr>
      <t>t</t>
    </r>
    <r>
      <rPr>
        <sz val="9"/>
        <color rgb="FF000000"/>
        <rFont val="Calibri"/>
        <family val="2"/>
        <scheme val="minor"/>
      </rPr>
      <t xml:space="preserve"> = Número de Planes de Saneamiento y Manejo de Vertimientos con seguimiento, en el tiempo t.</t>
    </r>
  </si>
  <si>
    <r>
      <t xml:space="preserve">MPSMVCS </t>
    </r>
    <r>
      <rPr>
        <vertAlign val="subscript"/>
        <sz val="9"/>
        <color rgb="FF000000"/>
        <rFont val="Calibri"/>
        <family val="2"/>
        <scheme val="minor"/>
      </rPr>
      <t>t</t>
    </r>
    <r>
      <rPr>
        <sz val="9"/>
        <color rgb="FF000000"/>
        <rFont val="Calibri"/>
        <family val="2"/>
        <scheme val="minor"/>
      </rPr>
      <t xml:space="preserve"> = Meta de Planes de Saneamiento y Manejo de Vertimientos con seguimiento, en el tiempo t.</t>
    </r>
  </si>
  <si>
    <t>La meta de número de Planes de Saneamiento y Manejo de Vertimientos sujetos a seguimiento es establecida en el Plan de Acción de la Corporación.</t>
  </si>
  <si>
    <t>Número total de Planes de Saneamiento y Manejo de Vertimientos (PSMV) aprobados por la Corporación:</t>
  </si>
  <si>
    <t>Número total de Planes de Saneamiento y Manejo de Vertimientos (PSMV) priorizados por la Corporación para hacer seguimiento en el cuatrienio:</t>
  </si>
  <si>
    <t>Meta de Planes de Saneamiento y Manejo de Vertimientos (PSMV) con seguimiento MPSMVCS</t>
  </si>
  <si>
    <t>Número de Planes de Saneamiento y Manejo de Vertimientos con seguimiento (PSMVCS)</t>
  </si>
  <si>
    <t>Porcentaje de Planes de Saneamiento y Manejo de Vertimientos con seguimiento (PPSMVCS) (C = B / A)</t>
  </si>
  <si>
    <t>Cuanto más cercano a cien por ciento, mayor es el cumplimiento de las metas que la autoridad ambiental se ha propuesto alcanzar en relación con el seguimiento a los Planes de Saneamiento y Manejo de Vertimientos (PSMV)</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</si>
  <si>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Planes de Saneamiento y Manejo de Vertimientos (PSMV) con seguimiento (Versión 1.0).</t>
    </r>
    <r>
      <rPr>
        <sz val="9"/>
        <color rgb="FF000000"/>
        <rFont val="Calibri"/>
        <family val="2"/>
        <scheme val="minor"/>
      </rPr>
      <t xml:space="preserve"> Ministerio de Ambiente y Desarrollo Sostenible, DGOAT-SINA y DRH.</t>
    </r>
  </si>
  <si>
    <t>Porcentaje de cuerpos de agua con reglamentación del uso de las aguas</t>
  </si>
  <si>
    <t>Es la relación entre el número de cuerpos de agua con reglamentación del uso de las aguas y la meta de cuerpos de agua a ser reglamentados en su uso de las aguas por parte de la autoridad ambiental.</t>
  </si>
  <si>
    <t>El indicador mide el cumplimiento de las metas que la autoridad ambiental se ha propuesto alcanzar en relación con el número de cuerpos de agua con reglamentación del uso de las aguas.</t>
  </si>
  <si>
    <t>La reglamentación del uso de las aguas es un instrumento que busca distribuir adecuadamente el agua en las corrientes hídricas, establecer obras de captación y conducción para el uso racional del recurso hídrico, legalizar el uso del agua, incentivar un manejo responsable del caudal otorgado y un uso eficiente del recurso.</t>
  </si>
  <si>
    <t>Así mismo el decreto 1076 de 2015, precisa que: “en todo caso, el Plan de Ordenamiento del Recurso Hídrico deberá definir la conveniencia de adelantar la reglamentación del uso de las aguas, de conformidad con lo establecido en el artículo 2.2.3.2.13.2 del presente Decreto o la norma que lo modifique o sustituya, y la reglamentación de vertimientos según lo dispuesto en el presente decreto o de administrar el cuerpo de agua a través de concesiones de agua y permisos de vertimiento. Así mismo, dará lugar al ajuste de la reglamentación del uso de las aguas, de la reglamentación de vertimientos, de las concesiones, de los permisos de vertimiento, de los planes de cumplimiento y de los planes de saneamiento y manejo de vertimientos y de las metas de reducción, según el caso.”</t>
  </si>
  <si>
    <t>De lo anterior se concluye que adelantar los procedimientos mencionados obedecerá a los resultados de los análisis elaborados en el PORH.</t>
  </si>
  <si>
    <r>
      <t xml:space="preserve">PRUA </t>
    </r>
    <r>
      <rPr>
        <vertAlign val="subscript"/>
        <sz val="9"/>
        <color rgb="FF000000"/>
        <rFont val="Calibri"/>
        <family val="2"/>
        <scheme val="minor"/>
      </rPr>
      <t>t</t>
    </r>
    <r>
      <rPr>
        <sz val="9"/>
        <color rgb="FF000000"/>
        <rFont val="Calibri"/>
        <family val="2"/>
        <scheme val="minor"/>
      </rPr>
      <t xml:space="preserve"> = Porcentaje de cuerpos de agua con reglamentación del uso de las aguas, en el tiempo t.</t>
    </r>
  </si>
  <si>
    <r>
      <t xml:space="preserve">RUA </t>
    </r>
    <r>
      <rPr>
        <vertAlign val="subscript"/>
        <sz val="9"/>
        <color rgb="FF000000"/>
        <rFont val="Calibri"/>
        <family val="2"/>
        <scheme val="minor"/>
      </rPr>
      <t>t</t>
    </r>
    <r>
      <rPr>
        <sz val="9"/>
        <color rgb="FF000000"/>
        <rFont val="Calibri"/>
        <family val="2"/>
        <scheme val="minor"/>
      </rPr>
      <t xml:space="preserve"> = Número de cuerpos de agua con reglamentación del uso de las aguas, en el tiempo t.</t>
    </r>
  </si>
  <si>
    <r>
      <t xml:space="preserve">MRUA </t>
    </r>
    <r>
      <rPr>
        <vertAlign val="subscript"/>
        <sz val="9"/>
        <color rgb="FF000000"/>
        <rFont val="Calibri"/>
        <family val="2"/>
        <scheme val="minor"/>
      </rPr>
      <t>t</t>
    </r>
    <r>
      <rPr>
        <sz val="9"/>
        <color rgb="FF000000"/>
        <rFont val="Calibri"/>
        <family val="2"/>
        <scheme val="minor"/>
      </rPr>
      <t xml:space="preserve"> = Meta de número de cuerpos de agua con reglamentación del uso de las aguas, en el tiempo t.</t>
    </r>
  </si>
  <si>
    <t>La meta de número de cuerpos de agua con reglamentación del uso de las aguas es establecida en el Plan de Acción de la Corporación.</t>
  </si>
  <si>
    <t>Número total de cuerpos de agua sujeto de reglamentación del uso de las aguas:</t>
  </si>
  <si>
    <t>Número total de cuerpos de agua a ser reglamentados en su uso de las aguas durante el cuatrienio:</t>
  </si>
  <si>
    <t>Meta de cuerpos de agua con reglamentación del uso de las aguas (MRUA)</t>
  </si>
  <si>
    <t>Número de cuerpos de agua con reglamentación del uso de las aguas (RUA)</t>
  </si>
  <si>
    <t>Porcentaje de Cuerpos de agua con reglamentación del uso de las aguas (PRUA) (C = B / A)</t>
  </si>
  <si>
    <t>Cuanto más cercano a cien por ciento, mayor es el cumplimiento de las metas que la autoridad ambiental se ha propuesto alcanzar en relación con el número de cuerpos de agua con reglamentación del uso de las aguas.</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</si>
  <si>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Cuerpos de agua con reglamentación del uso de las aguas (Versión 1.0).</t>
    </r>
    <r>
      <rPr>
        <sz val="9"/>
        <color rgb="FF000000"/>
        <rFont val="Calibri"/>
        <family val="2"/>
        <scheme val="minor"/>
      </rPr>
      <t xml:space="preserve"> Ministerio de Ambiente y Desarrollo Sostenible, DGOAT-SINA y DRH.</t>
    </r>
  </si>
  <si>
    <t>Porcentaje de Programas de Uso Eficiente y Ahorro del Agua (PUEAA) con seguimiento</t>
  </si>
  <si>
    <t>Es la relación entre el número de Programas de Uso Eficiente y Ahorro del Agua (PUEAA) con seguimiento con respecto a la meta de seguimiento de dichos planes por parte de la autoridad ambiental.</t>
  </si>
  <si>
    <t>El indicador mide el cumplimiento de las metas que la autoridad ambiental se ha propuesto alcanzar en relación con el seguimiento a los Programas de Uso Eficiente y Ahorro del Agua (PUEAA).</t>
  </si>
  <si>
    <t>Ley 1437 de 2011</t>
  </si>
  <si>
    <t>Ley 373 de 1997</t>
  </si>
  <si>
    <t>Ley 1450 de 2011 (literal h del artículo 215) (vigente)</t>
  </si>
  <si>
    <t>La Ley 373 de 1997 define por programa para el uso eficiente y ahorro de agua el conjunto de proyectos y acciones que deben elaborar y adoptar las entidades encargadas de la prestación de los servicios de acueducto, alcantarillado, riego y drenaje, producción hidroeléctrica y demás usuarios del recurso hídrico. Así mismo, la mencionada Ley establece que todo plan ambiental regional y municipal debe incorporar obligatoriamente un programa para el uso eficiente y ahorro de agua.</t>
  </si>
  <si>
    <t>Adicionalmente, la citada Ley determina que las Corporaciones Autónomas Regionales y demás autoridades ambientales encargadas del manejo, protección y control del recurso hídrico en su respectiva jurisdicción, aprobarán la implantación y ejecución de dichos programas en coordinación con otras corporaciones autónomas que compartan las fuentes que abastecen los diferentes usos.</t>
  </si>
  <si>
    <t>El Programa de Uso Eficiente y Ahorro del Agua (PUEAA) es quinquenal y deberá estar basado en el diagnóstico de la oferta hídrica de las fuentes de abastecimiento y la demanda de agua, y contener las metas anuales de reducción de pérdidas, las campañas educativas a la comunidad, la utilización de aguas superficiales, lluvias y subterráneas, los incentivos y otros aspectos que definan las Corporaciones Autónomas Regionales y demás autoridades ambientales, las entidades prestadoras de los servicios de acueducto y alcantarillado, las que manejen proyectos de riego y drenaje, las hidroeléctricas y demás usuarios del recurso, que se consideren convenientes para el cumplimiento del programa.</t>
  </si>
  <si>
    <t>Por su parte, el literal h del artículo 215 de la Ley 1450 de 2011 (vigente) estableció la competencia de las corporaciones autónomas regionales en el seguimiento a los Planes de Uso Eficiente y Ahorro del Agua.</t>
  </si>
  <si>
    <r>
      <t xml:space="preserve">PPUEAACS </t>
    </r>
    <r>
      <rPr>
        <vertAlign val="subscript"/>
        <sz val="9"/>
        <color rgb="FF000000"/>
        <rFont val="Calibri"/>
        <family val="2"/>
        <scheme val="minor"/>
      </rPr>
      <t>t</t>
    </r>
    <r>
      <rPr>
        <sz val="9"/>
        <color rgb="FF000000"/>
        <rFont val="Calibri"/>
        <family val="2"/>
        <scheme val="minor"/>
      </rPr>
      <t xml:space="preserve"> = Porcentaje de Programas de Uso Eficiente y Ahorro del Agua (PUEAA) con seguimiento, en el tiempo t.</t>
    </r>
  </si>
  <si>
    <r>
      <t xml:space="preserve">PUEAACS </t>
    </r>
    <r>
      <rPr>
        <vertAlign val="subscript"/>
        <sz val="9"/>
        <color rgb="FF000000"/>
        <rFont val="Calibri"/>
        <family val="2"/>
        <scheme val="minor"/>
      </rPr>
      <t>t</t>
    </r>
    <r>
      <rPr>
        <sz val="9"/>
        <color rgb="FF000000"/>
        <rFont val="Calibri"/>
        <family val="2"/>
        <scheme val="minor"/>
      </rPr>
      <t xml:space="preserve"> = Número de Programas de Uso Eficiente y Ahorro del Agua con seguimiento, en el tiempo t.</t>
    </r>
  </si>
  <si>
    <r>
      <t xml:space="preserve">MPUEAACS </t>
    </r>
    <r>
      <rPr>
        <vertAlign val="subscript"/>
        <sz val="9"/>
        <color rgb="FF000000"/>
        <rFont val="Calibri"/>
        <family val="2"/>
        <scheme val="minor"/>
      </rPr>
      <t>t</t>
    </r>
    <r>
      <rPr>
        <sz val="9"/>
        <color rgb="FF000000"/>
        <rFont val="Calibri"/>
        <family val="2"/>
        <scheme val="minor"/>
      </rPr>
      <t xml:space="preserve"> = Meta de Programas de Uso Eficiente y Ahorro del Agua con seguimiento, en el tiempo t.</t>
    </r>
  </si>
  <si>
    <t>La meta de número de Programas de Uso Eficiente y Ahorro del Agua sujetos a seguimiento es establecida en el Plan de Acción de la Corporación.</t>
  </si>
  <si>
    <t>Número total de Programas de Uso Eficiente y Ahorro del Agua (PUEAA) priorizados por la Corporación para hacer seguimiento en el cuatrienio:</t>
  </si>
  <si>
    <t>Meta de Programas de Uso Eficiente y Ahorro del Agua (PUEAA) con seguimiento MPUEAACS</t>
  </si>
  <si>
    <t>Número de Programas de Uso Eficiente y Ahorro del Agua con seguimiento (PPUEAACS)</t>
  </si>
  <si>
    <t>Porcentaje de Programas de Uso Eficiente y Ahorro del Agua con seguimiento (PPUEAACS) (C = B / A)</t>
  </si>
  <si>
    <t>Cuanto más cercano a cien por ciento, mayor es el cumplimiento de las metas que la autoridad ambiental se ha propuesto alcanzar en relación con el seguimiento a los Programas de Uso Eficiente y Ahorro del Agua (PUEAA)</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</si>
  <si>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Programas de Uso Eficiente y Ahorro del Agua (PUEAA) con seguimiento (Versión 1.0).</t>
    </r>
    <r>
      <rPr>
        <sz val="9"/>
        <color rgb="FF000000"/>
        <rFont val="Calibri"/>
        <family val="2"/>
        <scheme val="minor"/>
      </rPr>
      <t xml:space="preserve"> Ministerio de Ambiente y Desarrollo Sostenible, DGOAT-SINA y DRH.</t>
    </r>
  </si>
  <si>
    <t>Porcentaje de Planes de Ordenación y Manejo de Cuencas (POMCAS), Planes de Manejo de Acuíferos (PMA) y Planes de Manejo de Microcuencas (PMM) en ejecución</t>
  </si>
  <si>
    <t>Es el porcentaje de Planes de Ordenación y Manejo de Cuencas (POMCAS), Planes de Manejo de Acuíferos (PMA) y Planes de Manejo de Microcuencas (PMM) en ejecución, en relación con los Planes de Ordenación y Manejo de Cuencas (POMCAS), Planes de Manejo de Acuíferos (PMA) y Planes de Manejo de Microcuencas (PMM) aprobados en la corporación.</t>
  </si>
  <si>
    <t>El indicador mide el cumplimiento de las metas establecidas en relación con la ejecución de los Planes de Ordenación y Manejo de Cuencas (POMCAS), Planes de Manejo de Acuíferos (PMA) y Planes de Manejo de Microcuencas (PMM).</t>
  </si>
  <si>
    <t>Seguimiento a las metas del Plan Nacional de Desarrollo 2014-2018 (Planes Estratégicos de Macrocuenca, POMCA y PMA acuíferos en implementación)</t>
  </si>
  <si>
    <r>
      <t>Normatividad de soporte</t>
    </r>
    <r>
      <rPr>
        <sz val="9"/>
        <color rgb="FF000000"/>
        <rFont val="Calibri"/>
        <family val="2"/>
        <scheme val="minor"/>
      </rPr>
      <t>:</t>
    </r>
  </si>
  <si>
    <t>Resolución 1907 de 2013</t>
  </si>
  <si>
    <t>El Plan de Ordenación y manejo de Cuencas Hidrográficas (POMCA) es el instrumento a través del cual se realiza la planeación del adecuado uso del suelo, de las aguas, de la flora y la fauna; y el manejo de la cuenca, entendido como la ejecución de obras y tratamientos, con el propósito de mantener el equilibrio entre el aprovechamiento social y el aprovechamiento económico de tales recursos, así como la conservación de la estructura físico -biótica de la cuenca y particularmente del recurso hídrico.</t>
  </si>
  <si>
    <t>La implementación de los POMCAS es resultado de un esfuerzo conjunto de diversas instituciones presentes en la región. El indicador se centra en la implementación de las acciones previstas en los POMCAS que están a cargo de las corporaciones autónomas regionales, incluyendo el seguimiento por parte de la autoridad ambiental a los compromisos de las demás entidades responsables de la ejecución de los POMCAS.</t>
  </si>
  <si>
    <r>
      <t xml:space="preserve">PPEE </t>
    </r>
    <r>
      <rPr>
        <vertAlign val="subscript"/>
        <sz val="9"/>
        <color rgb="FF000000"/>
        <rFont val="Calibri"/>
        <family val="2"/>
        <scheme val="minor"/>
      </rPr>
      <t>t</t>
    </r>
    <r>
      <rPr>
        <sz val="9"/>
        <color rgb="FF000000"/>
        <rFont val="Calibri"/>
        <family val="2"/>
        <scheme val="minor"/>
      </rPr>
      <t xml:space="preserve"> = Porcentaje de Planes de Ordenación y Manejo de Cuencas (POMCAS), Planes de Manejo de Acuíferos (PMA) y Planes de Manejo de Microcuencas (PMM) en ejecución, en el tiempo t.</t>
    </r>
  </si>
  <si>
    <r>
      <t xml:space="preserve">PPOMCASEE </t>
    </r>
    <r>
      <rPr>
        <vertAlign val="subscript"/>
        <sz val="9"/>
        <color rgb="FF000000"/>
        <rFont val="Calibri"/>
        <family val="2"/>
        <scheme val="minor"/>
      </rPr>
      <t>t</t>
    </r>
    <r>
      <rPr>
        <sz val="9"/>
        <color rgb="FF000000"/>
        <rFont val="Calibri"/>
        <family val="2"/>
        <scheme val="minor"/>
      </rPr>
      <t xml:space="preserve"> = Porcentaje de Planes de Ordenación y Manejo de Cuencas (POMCAS) en ejecución, en el tiempo t.</t>
    </r>
  </si>
  <si>
    <r>
      <t xml:space="preserve">PPMAEE </t>
    </r>
    <r>
      <rPr>
        <vertAlign val="subscript"/>
        <sz val="9"/>
        <color rgb="FF000000"/>
        <rFont val="Calibri"/>
        <family val="2"/>
        <scheme val="minor"/>
      </rPr>
      <t>t</t>
    </r>
    <r>
      <rPr>
        <sz val="9"/>
        <color rgb="FF000000"/>
        <rFont val="Calibri"/>
        <family val="2"/>
        <scheme val="minor"/>
      </rPr>
      <t xml:space="preserve"> = Porcentaje de Planes de Manejo de Acuíferos (PMA) en ejecución, en el tiempo t.</t>
    </r>
  </si>
  <si>
    <r>
      <t xml:space="preserve">PPMMME </t>
    </r>
    <r>
      <rPr>
        <vertAlign val="subscript"/>
        <sz val="9"/>
        <color rgb="FF000000"/>
        <rFont val="Calibri"/>
        <family val="2"/>
        <scheme val="minor"/>
      </rPr>
      <t>t</t>
    </r>
    <r>
      <rPr>
        <sz val="9"/>
        <color rgb="FF000000"/>
        <rFont val="Calibri"/>
        <family val="2"/>
        <scheme val="minor"/>
      </rPr>
      <t xml:space="preserve"> = Porcentaje de Planes de Manejo de Microcuencas (PMM) en ejecución, en el tiempo t.</t>
    </r>
  </si>
  <si>
    <t>a = ponderador de PPOMCASEE</t>
  </si>
  <si>
    <t>b = ponderador de PPMAEE</t>
  </si>
  <si>
    <t>c = ponderador de PPMMME</t>
  </si>
  <si>
    <r>
      <t>Nota:</t>
    </r>
    <r>
      <rPr>
        <sz val="9"/>
        <color rgb="FF000000"/>
        <rFont val="Calibri"/>
        <family val="2"/>
        <scheme val="minor"/>
      </rPr>
      <t xml:space="preserve"> los ponderadores de las acciones serán definidos por las CAR teniendo en cuenta el presupuesto asignado para cada una de ellas. Por su parte, la ejecución de cada acción corresponde a la ejecución presupuestal de la acción (compromisos / presupuesto definitivo).</t>
    </r>
  </si>
  <si>
    <r>
      <t xml:space="preserve">Porcentaje de POMCAS en ejecución </t>
    </r>
    <r>
      <rPr>
        <sz val="9"/>
        <color rgb="FF000000"/>
        <rFont val="Calibri"/>
        <family val="2"/>
        <scheme val="minor"/>
      </rPr>
      <t>(PPOMCASEE)</t>
    </r>
  </si>
  <si>
    <r>
      <t xml:space="preserve">POMCASEE </t>
    </r>
    <r>
      <rPr>
        <vertAlign val="subscript"/>
        <sz val="9"/>
        <color rgb="FF000000"/>
        <rFont val="Calibri"/>
        <family val="2"/>
        <scheme val="minor"/>
      </rPr>
      <t>t</t>
    </r>
    <r>
      <rPr>
        <sz val="9"/>
        <color rgb="FF000000"/>
        <rFont val="Calibri"/>
        <family val="2"/>
        <scheme val="minor"/>
      </rPr>
      <t xml:space="preserve"> = Número de POMCAS en ejecución, en el tiempo t.</t>
    </r>
  </si>
  <si>
    <t>POMCASF = Número de POMCAS aprobados.</t>
  </si>
  <si>
    <r>
      <t>Porcentaje de PMA en ejecución (</t>
    </r>
    <r>
      <rPr>
        <sz val="9"/>
        <color rgb="FF000000"/>
        <rFont val="Calibri"/>
        <family val="2"/>
        <scheme val="minor"/>
      </rPr>
      <t>PPMAEE)</t>
    </r>
  </si>
  <si>
    <r>
      <t xml:space="preserve">PMAEE </t>
    </r>
    <r>
      <rPr>
        <vertAlign val="subscript"/>
        <sz val="9"/>
        <color rgb="FF000000"/>
        <rFont val="Calibri"/>
        <family val="2"/>
        <scheme val="minor"/>
      </rPr>
      <t>t</t>
    </r>
    <r>
      <rPr>
        <sz val="9"/>
        <color rgb="FF000000"/>
        <rFont val="Calibri"/>
        <family val="2"/>
        <scheme val="minor"/>
      </rPr>
      <t xml:space="preserve"> = Número de POMCAS en ejecución, en el tiempo t.</t>
    </r>
  </si>
  <si>
    <t>PMAF = Número de POMCAS aprobados.</t>
  </si>
  <si>
    <r>
      <t>Porcentaje de PMM en ejecución (</t>
    </r>
    <r>
      <rPr>
        <sz val="9"/>
        <color rgb="FF000000"/>
        <rFont val="Calibri"/>
        <family val="2"/>
        <scheme val="minor"/>
      </rPr>
      <t>PPMMEE)</t>
    </r>
  </si>
  <si>
    <r>
      <t xml:space="preserve">PPMMEE </t>
    </r>
    <r>
      <rPr>
        <vertAlign val="subscript"/>
        <sz val="9"/>
        <color rgb="FF000000"/>
        <rFont val="Calibri"/>
        <family val="2"/>
        <scheme val="minor"/>
      </rPr>
      <t>t</t>
    </r>
    <r>
      <rPr>
        <sz val="9"/>
        <color rgb="FF000000"/>
        <rFont val="Calibri"/>
        <family val="2"/>
        <scheme val="minor"/>
      </rPr>
      <t xml:space="preserve"> = Porcentaje de Planes de Manejo de Microcuencas (PMM) en ejecución, en el tiempo t.</t>
    </r>
  </si>
  <si>
    <r>
      <t xml:space="preserve">PMMEE </t>
    </r>
    <r>
      <rPr>
        <vertAlign val="subscript"/>
        <sz val="9"/>
        <color rgb="FF000000"/>
        <rFont val="Calibri"/>
        <family val="2"/>
        <scheme val="minor"/>
      </rPr>
      <t>t</t>
    </r>
    <r>
      <rPr>
        <sz val="9"/>
        <color rgb="FF000000"/>
        <rFont val="Calibri"/>
        <family val="2"/>
        <scheme val="minor"/>
      </rPr>
      <t xml:space="preserve"> = Número de PMM en ejecución, en el tiempo t.</t>
    </r>
  </si>
  <si>
    <t>PMMF = Número de PMM aprobados.</t>
  </si>
  <si>
    <t>Indicador complementario:</t>
  </si>
  <si>
    <t>Ejecución presupuestal de acciones relacionadas con la implementación de los POMCAS, PMA y PMM</t>
  </si>
  <si>
    <t>.</t>
  </si>
  <si>
    <r>
      <t xml:space="preserve">EPPAM </t>
    </r>
    <r>
      <rPr>
        <vertAlign val="subscript"/>
        <sz val="9"/>
        <color rgb="FF000000"/>
        <rFont val="Calibri"/>
        <family val="2"/>
        <scheme val="minor"/>
      </rPr>
      <t>t</t>
    </r>
    <r>
      <rPr>
        <sz val="9"/>
        <color rgb="FF000000"/>
        <rFont val="Calibri"/>
        <family val="2"/>
        <scheme val="minor"/>
      </rPr>
      <t xml:space="preserve"> = Ejecución presupuestal de acciones relacionadas con la implementación de los POMCAS, PMA y PMM, en el año t.</t>
    </r>
  </si>
  <si>
    <r>
      <t xml:space="preserve">CPAM </t>
    </r>
    <r>
      <rPr>
        <vertAlign val="subscript"/>
        <sz val="9"/>
        <color rgb="FF000000"/>
        <rFont val="Calibri"/>
        <family val="2"/>
        <scheme val="minor"/>
      </rPr>
      <t>it</t>
    </r>
    <r>
      <rPr>
        <sz val="9"/>
        <color rgb="FF000000"/>
        <rFont val="Calibri"/>
        <family val="2"/>
        <scheme val="minor"/>
      </rPr>
      <t xml:space="preserve"> = Compromisos correspondientes a la acción i relacionada con la implementación de los POMCAS, PMA y PMM, en el año t.</t>
    </r>
  </si>
  <si>
    <r>
      <t xml:space="preserve">PDPAM </t>
    </r>
    <r>
      <rPr>
        <vertAlign val="subscript"/>
        <sz val="9"/>
        <color rgb="FF000000"/>
        <rFont val="Calibri"/>
        <family val="2"/>
        <scheme val="minor"/>
      </rPr>
      <t>it</t>
    </r>
    <r>
      <rPr>
        <sz val="9"/>
        <color rgb="FF000000"/>
        <rFont val="Calibri"/>
        <family val="2"/>
        <scheme val="minor"/>
      </rPr>
      <t xml:space="preserve"> = Presupuesto definitivo a la acción i relacionada con la implementación de los POMCAS, PMA y PMM, en el año t.</t>
    </r>
  </si>
  <si>
    <t>Reporte de ejecución de POMCAS, PMA y PMM</t>
  </si>
  <si>
    <t>Número / Año</t>
  </si>
  <si>
    <t>Acumulado</t>
  </si>
  <si>
    <t>Número de POMCAS aprobados</t>
  </si>
  <si>
    <t>Número de POMCAS en ejecución</t>
  </si>
  <si>
    <t>Número de PMA aprobados</t>
  </si>
  <si>
    <t>D</t>
  </si>
  <si>
    <t>Número de PMA en ejecución</t>
  </si>
  <si>
    <t>E</t>
  </si>
  <si>
    <t>Número de PMM aprobados</t>
  </si>
  <si>
    <t>F</t>
  </si>
  <si>
    <t>Número de PMM en ejecución</t>
  </si>
  <si>
    <t>G</t>
  </si>
  <si>
    <t>Porcentaje de POMCAS en ejecución (G = B / A)</t>
  </si>
  <si>
    <t>H</t>
  </si>
  <si>
    <t>Porcentaje de PMA en ejecución (H = D /C)</t>
  </si>
  <si>
    <t>I</t>
  </si>
  <si>
    <t>Porcentaje de PMM en ejecución (I = F / E)</t>
  </si>
  <si>
    <t>Nombre de acción / proyecto (*)</t>
  </si>
  <si>
    <t>Plan</t>
  </si>
  <si>
    <t>PPTO Inicial</t>
  </si>
  <si>
    <t>PPTO. Def.</t>
  </si>
  <si>
    <t>Compromisos</t>
  </si>
  <si>
    <t>Pagos</t>
  </si>
  <si>
    <t>(*) nombre del proyecto o actividad en el Plan de Acción de la Corporación. Utilice tantas filas cuantas sean necesarias</t>
  </si>
  <si>
    <t>Cuanto más cercano a cien por ciento, mayor es el cumplimiento de las metas establecidas en relación con la implementación de los Planes de Ordenación y Manejo de Cuencas (POMCAS), Planes de Manejo de Acuíferos (PMA) y Planes de Manejo de Microcuencas (PMM) aprobados.</t>
  </si>
  <si>
    <t>Se pueden presentar situaciones de orden operativo, político y social que pueden afectar los cronogramas definidos.</t>
  </si>
  <si>
    <r>
      <t>Hoja Metodológica de referencia:</t>
    </r>
    <r>
      <rPr>
        <sz val="9"/>
        <color rgb="FF000000"/>
        <rFont val="Calibri"/>
        <family val="2"/>
        <scheme val="minor"/>
      </rPr>
      <t xml:space="preserve"> MADS (2016). </t>
    </r>
    <r>
      <rPr>
        <i/>
        <sz val="9"/>
        <color rgb="FF000000"/>
        <rFont val="Calibri"/>
        <family val="2"/>
        <scheme val="minor"/>
      </rPr>
      <t>Hoja metodológica de Planes de Ordenación y Manejo de Cuencas (POMCAS), Planes de Manejo de Acuíferos (PMA) y Planes de Manejo de Microcuencas (PMM) en ejecución (Versión 1.0).</t>
    </r>
    <r>
      <rPr>
        <sz val="9"/>
        <color rgb="FF000000"/>
        <rFont val="Calibri"/>
        <family val="2"/>
        <scheme val="minor"/>
      </rPr>
      <t xml:space="preserve"> Ministerio de Ambiente y Desarrollo Sostenible MADS, DGOAT-SINA y DRH.</t>
    </r>
  </si>
  <si>
    <t>Porcentaje de entes territoriales asesorados en la incorporación, planificación y ejecución de acciones relacionadas con cambio climático en el marco de los instrumentos de planificación territorial</t>
  </si>
  <si>
    <t>Es la relación entre el número de entes territoriales asesorados en la incorporación, planificación y ejecución de acciones relacionadas con cambio climático en el marco de los instrumentos de planificación territorial, con respecto a la meta de entes territoriales a ser asesorados durante un periodo de gobierno en los departamentos y municipios.</t>
  </si>
  <si>
    <t>El indicador mide el cumplimiento de las metas establecidas, por parte de la Corporación Autónoma Regional, en relación con la asesoría a los entes territoriales en la incorporación, planificación y ejecución de acciones de cambio climático en sus instrumentos de planificación territorial.</t>
  </si>
  <si>
    <t>Cumplimiento y Seguimiento a las metas del Plan Nacional de Desarrollo 2014-2018 (Entidades territoriales que incorporan en los instrumentos de planificación acciones de cambio climático)</t>
  </si>
  <si>
    <t>Convención Marco de Cambio Climático CMCC</t>
  </si>
  <si>
    <t>Objetivos de Desarrollo Sostenible, Objetivo 13: adoptar medidas urgentes para combatir el cambio climático y sus efectos.</t>
  </si>
  <si>
    <t>Ley 99 de 1993, Artículo 31, numerales 4 y 5.</t>
  </si>
  <si>
    <t>Ley 1753 de 2015, Plan Nacional de Desarrollo (Crecimiento Verde), Artículo 170 y ss.</t>
  </si>
  <si>
    <t>Documentos de referencia:</t>
  </si>
  <si>
    <t>Plan Nacional de Desarrollo</t>
  </si>
  <si>
    <t>Acuerdo COP 21 y Guía para la incorporación de cambio climático en el ciclo del ordenamiento territorial.</t>
  </si>
  <si>
    <t>Mayor información: http://cambioclimatico.minambiente.gov.co/</t>
  </si>
  <si>
    <t>El Plan Nacional de Desarrollo 2014-2018 (crecimiento verde) establece que las entidades territoriales incorporen, en sus instrumentos formales de planificación del desarrollo y de ordenamiento territorial, acciones de adaptación y/o mitigación al cambio climático; mediante la reducción de vulnerabilidad, el incremento de la capacidad adaptativa y la reducción de la exposición y sensibilidad; así como la reducción de emisiones de Gases de Efecto Invernadero. Cabe indicar que los instrumentos formales de planificación del desarrollo y de ordenamiento territorial abarcan los Planes de Desarrollo departamentales y municipales y Planes de Ordenamiento Territorial.</t>
  </si>
  <si>
    <t>En éste mismo sentido la Ley 99 de 1993 en su Artículo 31, numerales 4 y 5, contempla que “asesorar a los Departamentos, Distritos y Municipios de su comprensión territorial en la definición de los planes de desarrollo ambiental y en sus programas y proyectos en materia de protección del medio ambiente” y “Participar con los demás organismos y entes competentes en el ámbito de su jurisdicción, en los procesos de planificación y ordenamiento territorial a fin de que el factor ambiental sea tenido en cuenta en las decisiones que se adopten”</t>
  </si>
  <si>
    <t>Las autoridades ambientales juegan un papel central como asesores técnicos de la incorporación del cambio climático en sus instrumentos de planificación de los entes territoriales, tanto a nivel departamental como municipal.</t>
  </si>
  <si>
    <t>Por asesoría se entienden las siguientes acciones:</t>
  </si>
  <si>
    <r>
      <t>·</t>
    </r>
    <r>
      <rPr>
        <sz val="7"/>
        <color rgb="FF000000"/>
        <rFont val="Times New Roman"/>
        <family val="1"/>
      </rPr>
      <t xml:space="preserve">        </t>
    </r>
    <r>
      <rPr>
        <sz val="9"/>
        <color rgb="FF000000"/>
        <rFont val="Calibri"/>
        <family val="2"/>
      </rPr>
      <t>Elaborar informes de análisis de la incorporación de cambio climático en el proceso de formulación de los Planes de Desarrollo departamentales y municipales y en los Planes de Ordenamiento Territorial.</t>
    </r>
  </si>
  <si>
    <r>
      <t>·</t>
    </r>
    <r>
      <rPr>
        <sz val="7"/>
        <color rgb="FF000000"/>
        <rFont val="Times New Roman"/>
        <family val="1"/>
      </rPr>
      <t xml:space="preserve">        </t>
    </r>
    <r>
      <rPr>
        <sz val="9"/>
        <color rgb="FF000000"/>
        <rFont val="Calibri"/>
        <family val="2"/>
      </rPr>
      <t>Entregar a los territorios documentos con recomendaciones y orientaciones específicas para la incorporación, planificación y ejecución de acciones de cambio climático en los instrumentos de planificación del desarrollo y de ordenamiento territorial</t>
    </r>
  </si>
  <si>
    <r>
      <t>·</t>
    </r>
    <r>
      <rPr>
        <sz val="7"/>
        <color rgb="FF000000"/>
        <rFont val="Times New Roman"/>
        <family val="1"/>
      </rPr>
      <t xml:space="preserve">        </t>
    </r>
    <r>
      <rPr>
        <sz val="9"/>
        <color rgb="FF000000"/>
        <rFont val="Calibri"/>
        <family val="2"/>
      </rPr>
      <t>Elaborar estudios para medir el riesgo climático en la jurisdicción y realizar la socialización con los entes territoriales.</t>
    </r>
  </si>
  <si>
    <r>
      <t>·</t>
    </r>
    <r>
      <rPr>
        <sz val="7"/>
        <color rgb="FF000000"/>
        <rFont val="Times New Roman"/>
        <family val="1"/>
      </rPr>
      <t xml:space="preserve">        </t>
    </r>
    <r>
      <rPr>
        <sz val="9"/>
        <color rgb="FF000000"/>
        <rFont val="Calibri"/>
        <family val="2"/>
      </rPr>
      <t>Elaboración y difusión de estudios sobre las oportunidades del cambio climático a nivel regional.</t>
    </r>
  </si>
  <si>
    <r>
      <t>·</t>
    </r>
    <r>
      <rPr>
        <sz val="7"/>
        <color rgb="FF000000"/>
        <rFont val="Times New Roman"/>
        <family val="1"/>
      </rPr>
      <t xml:space="preserve">        </t>
    </r>
    <r>
      <rPr>
        <sz val="9"/>
        <color rgb="FF000000"/>
        <rFont val="Calibri"/>
        <family val="2"/>
      </rPr>
      <t>Fortalecer los sistemas de información que permitan generar conocimiento del cambio climático y sus efectos a nivel regional y local.</t>
    </r>
  </si>
  <si>
    <r>
      <t>·</t>
    </r>
    <r>
      <rPr>
        <sz val="7"/>
        <color rgb="FF000000"/>
        <rFont val="Times New Roman"/>
        <family val="1"/>
      </rPr>
      <t xml:space="preserve">        </t>
    </r>
    <r>
      <rPr>
        <sz val="9"/>
        <color rgb="FF000000"/>
        <rFont val="Calibri"/>
        <family val="2"/>
      </rPr>
      <t>Realizar eventos de capacitación para la incorporación de cambio climático en los Planes de Desarrollo departamentales y municipales y en los Planes de Ordenamiento Territorial.</t>
    </r>
  </si>
  <si>
    <r>
      <t xml:space="preserve">PETACC </t>
    </r>
    <r>
      <rPr>
        <vertAlign val="subscript"/>
        <sz val="9"/>
        <color rgb="FF000000"/>
        <rFont val="Calibri"/>
        <family val="2"/>
        <scheme val="minor"/>
      </rPr>
      <t>t</t>
    </r>
    <r>
      <rPr>
        <sz val="9"/>
        <color rgb="FF000000"/>
        <rFont val="Calibri"/>
        <family val="2"/>
        <scheme val="minor"/>
      </rPr>
      <t xml:space="preserve"> = Porcentaje de entes territoriales asesorados en la incorporación, planificación y ejecución de cambio climático en los instrumentos de planificación territorial, en el tiempo t.</t>
    </r>
  </si>
  <si>
    <r>
      <t xml:space="preserve">ETACC </t>
    </r>
    <r>
      <rPr>
        <vertAlign val="subscript"/>
        <sz val="9"/>
        <color rgb="FF000000"/>
        <rFont val="Calibri"/>
        <family val="2"/>
        <scheme val="minor"/>
      </rPr>
      <t>t</t>
    </r>
    <r>
      <rPr>
        <sz val="9"/>
        <color rgb="FF000000"/>
        <rFont val="Calibri"/>
        <family val="2"/>
        <scheme val="minor"/>
      </rPr>
      <t xml:space="preserve"> = Número de entes territoriales efectivamente asesorados en la incorporación, planificación y ejecución de cambio climático en los instrumentos de planificación territorial, en el tiempo t.</t>
    </r>
  </si>
  <si>
    <r>
      <t xml:space="preserve">METACC </t>
    </r>
    <r>
      <rPr>
        <vertAlign val="subscript"/>
        <sz val="9"/>
        <color rgb="FF000000"/>
        <rFont val="Calibri"/>
        <family val="2"/>
        <scheme val="minor"/>
      </rPr>
      <t>t</t>
    </r>
    <r>
      <rPr>
        <sz val="9"/>
        <color rgb="FF000000"/>
        <rFont val="Calibri"/>
        <family val="2"/>
        <scheme val="minor"/>
      </rPr>
      <t xml:space="preserve"> = Meta de entes territoriales a ser asesorados en la incorporación, planificación y ejecución de cambio climático en los instrumentos de planificación territorial, en el tiempo t.</t>
    </r>
  </si>
  <si>
    <t>Meta de entes territoriales a ser asesorados en la incorporación, planificación y ejecución de cambio climático en los instrumentos de planificación territorial (METACC)</t>
  </si>
  <si>
    <t>Entes territoriales efectivamente asesorados en la incorporación, planificación y ejecución de cambio climático en los instrumentos de planificación territorial (ETACC)</t>
  </si>
  <si>
    <t>Porcentaje de entes territoriales asesorados en la incorporación, planificación y ejecución de cambio climático en los instrumentos de planificación territorial (PETACC)</t>
  </si>
  <si>
    <t>Detalle de acciones de asesoría realizadas en la vigencia (utilice tantas filas cuantas sean necesarias)</t>
  </si>
  <si>
    <t>Acciones</t>
  </si>
  <si>
    <t>Nombres de entidades territoriales</t>
  </si>
  <si>
    <t>Cuanto más cercano a cien por ciento, mayor es el cumplimiento de las metas establecidas en relación con la asesoría a los entes territoriales en la incorporación de cambio climático en los instrumentos de planificación territorial.</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</si>
  <si>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entes territoriales asesorados en la incorporación de cambio climático en los instrumentos de planificación territorial (Versión 1.0).</t>
    </r>
    <r>
      <rPr>
        <sz val="9"/>
        <color rgb="FF000000"/>
        <rFont val="Calibri"/>
        <family val="2"/>
        <scheme val="minor"/>
      </rPr>
      <t xml:space="preserve"> Ministerio de Ambiente y Desarrollo Sostenible MADS, DGOAT-SINA y DCC.</t>
    </r>
  </si>
  <si>
    <t xml:space="preserve">Número de entes territoriales </t>
  </si>
  <si>
    <t>Porcentaje de suelos degradados en recuperación o rehabilitación</t>
  </si>
  <si>
    <t>Es la relación entre la superficie de suelos en restauración y en rehabilitación, con respecto a la meta de suelos en restauración y rehabilitación priorizadas por la Corporación.</t>
  </si>
  <si>
    <t>El indicador mide el cumplimiento de las metas de la Corporación en materia de restauración y rehabilitación de suelos, como contribución a la implementación regional de la Política de Gestión Sostenible del Suelo.</t>
  </si>
  <si>
    <t>Normas soporte:</t>
  </si>
  <si>
    <t>Ley 99 de 1993</t>
  </si>
  <si>
    <t>Decreto 1076 de 2015. Artículo 2.2.1.1.18.7. “En todo caso los propietarios están obligados a…… cooperar en las labores de prevención o corrección que adelante la autoridad ambiental competente”</t>
  </si>
  <si>
    <t>La estrategia transversal “Crecimiento Verde” del Plan Nacional de Desarrollo 2014-2018, “Todos por un nuevo país: Paz, Equidad y Educación”, tiene entre sus objetivos: “Proteger y asegurar el uso sostenible del capital natural y mejorar la calidad y la gobernanza ambiental”, y plantea como una de sus acciones prioritarias, aprobar e implementar la política para la gestión sostenible del suelo, “(…) a través de la cual se definirán los lineamientos para su uso sostenible relacionados con 1) promover la investigación, innovación y transferencia de tecnología para el conocimiento de los suelos, su conservación, recuperación, uso y manejo sostenible; 2) articular instrumentos normativos relacionados con la gestión del suelo y; 3) adelantar procesos de monitoreo y seguimiento a la calidad de los suelos”.</t>
  </si>
  <si>
    <t>Política de Gestión Sostenible del Suelo</t>
  </si>
  <si>
    <t>La Política de Gestión Sostenible del Suelo concibe los suelos como sistemas complejos y dinámicos, que se constituyen en componente fundamental del ambiente, y cumplen múltiples funciones vitales para la supervivencia humana y las relaciones sociales. Entre los servicios ecosistémicos asociados al suelo se destacan: producción de alimentos; filtrado e intercambio de gases; depuración de la contaminación; regulación climática e hídrica; ciclado de nutrientes; filtrado de agua; soporte para industria, infraestructura y turismo; entre otros.</t>
  </si>
  <si>
    <t>Los suelos hacen parte de la diversidad natural y biológica y están compuestos por minerales, agua, aire y organismos vivos; sus usos son esencialmente culturales, según las prácticas y las costumbres de los individuos y las comunidades, las cuales están predeterminadas por normas, reglas u orientaciones sociales, comunitarias o estatales.</t>
  </si>
  <si>
    <t>Así mismo, son indispensables y determinantes para la estructura y el funcionamiento de los ciclos del agua, del aire y de los nutrientes, así como para la biodiversidad. Esto en razón a que el suelo es parte esencial de los ciclos biogeoquímicos, en los cuales hay distribución, transporte, almacenamiento y transformación de materiales y energía necesarios para la vida en el planeta.</t>
  </si>
  <si>
    <t>A pesar de su importancia, el uso insostenible del suelo, entre otras actividades antrópicas, ocasiona su degradación, la cual resulta particularmente preocupante, por el efecto negativo en los ecosistemas, los organismos y las comunidades.</t>
  </si>
  <si>
    <t>Los procesos de degradación más relevantes en Colombia son la erosión, el sellamiento de suelos, la contaminación, la pérdida de la materia orgánica, la salinización, la compactación y la desertificación.</t>
  </si>
  <si>
    <t>Los procesos de recuperación o rehabilitación de suelos degradados deben dar cuenta de las acciones adelantadas para el mejoramiento de las condiciones del suelo (propiedades físicas, químicas y bilógicas) y las acciones para el monitoreo y seguimiento al mejoramiento de su calidad de acuerdo con las orientaciones establecidas en la Política para la Gestión Sostenible del Suelo. La Corporación partiendo de la información línea base disponible deberá identificar y priorizar las áreas con suelos degradados a intervenir, las cuales serán objeto de seguimiento al presente indicador.</t>
  </si>
  <si>
    <t>Entre la información línea base, se encuentra el mapa de degradación de suelos por erosión a escala 1:100.000 elaborado por el IDEAM y el MADS, los estudios de suelos e información del IGAC, las investigaciones desarrolladas por los Institutos de Investigación y las Universidades y la generada por las Corporaciones.</t>
  </si>
  <si>
    <t>Porcentaje de suelos degradados en recuperación o rehabilitación.</t>
  </si>
  <si>
    <r>
      <t xml:space="preserve">PSER </t>
    </r>
    <r>
      <rPr>
        <vertAlign val="subscript"/>
        <sz val="9"/>
        <color rgb="FF000000"/>
        <rFont val="Calibri"/>
        <family val="2"/>
        <scheme val="minor"/>
      </rPr>
      <t>t</t>
    </r>
    <r>
      <rPr>
        <sz val="9"/>
        <color rgb="FF000000"/>
        <rFont val="Calibri"/>
        <family val="2"/>
        <scheme val="minor"/>
      </rPr>
      <t xml:space="preserve"> = Porcentaje de suelos degradados en recuperación o rehabilitación, en el tiempo t.</t>
    </r>
  </si>
  <si>
    <r>
      <t xml:space="preserve">SER </t>
    </r>
    <r>
      <rPr>
        <vertAlign val="subscript"/>
        <sz val="9"/>
        <color rgb="FF000000"/>
        <rFont val="Calibri"/>
        <family val="2"/>
        <scheme val="minor"/>
      </rPr>
      <t>it</t>
    </r>
    <r>
      <rPr>
        <sz val="9"/>
        <color rgb="FF000000"/>
        <rFont val="Calibri"/>
        <family val="2"/>
        <scheme val="minor"/>
      </rPr>
      <t xml:space="preserve"> = Superficie de suelos degradados en recuperación o rehabilitación (ha), en el tiempo t.</t>
    </r>
  </si>
  <si>
    <r>
      <t xml:space="preserve">MSER </t>
    </r>
    <r>
      <rPr>
        <vertAlign val="subscript"/>
        <sz val="9"/>
        <color rgb="FF000000"/>
        <rFont val="Calibri"/>
        <family val="2"/>
        <scheme val="minor"/>
      </rPr>
      <t>it</t>
    </r>
    <r>
      <rPr>
        <sz val="9"/>
        <color rgb="FF000000"/>
        <rFont val="Calibri"/>
        <family val="2"/>
        <scheme val="minor"/>
      </rPr>
      <t xml:space="preserve"> = Meta de suelos degradados en recuperación o rehabilitación (ha), en el tiempo t.</t>
    </r>
  </si>
  <si>
    <t>Inversión asociada a recuperación o rehabilitación de suelos degradados (Millones de $)</t>
  </si>
  <si>
    <r>
      <t xml:space="preserve">IRSD </t>
    </r>
    <r>
      <rPr>
        <vertAlign val="subscript"/>
        <sz val="9"/>
        <color rgb="FF000000"/>
        <rFont val="Calibri"/>
        <family val="2"/>
        <scheme val="minor"/>
      </rPr>
      <t>t</t>
    </r>
    <r>
      <rPr>
        <sz val="9"/>
        <color rgb="FF000000"/>
        <rFont val="Calibri"/>
        <family val="2"/>
        <scheme val="minor"/>
      </rPr>
      <t xml:space="preserve"> = Inversión asociada a recuperación o rehabilitación de suelos degradados, en el año t.</t>
    </r>
  </si>
  <si>
    <r>
      <t xml:space="preserve">PDARSD </t>
    </r>
    <r>
      <rPr>
        <vertAlign val="subscript"/>
        <sz val="9"/>
        <color rgb="FF000000"/>
        <rFont val="Calibri"/>
        <family val="2"/>
        <scheme val="minor"/>
      </rPr>
      <t>i</t>
    </r>
    <r>
      <rPr>
        <sz val="9"/>
        <color rgb="FF000000"/>
        <rFont val="Calibri"/>
        <family val="2"/>
        <scheme val="minor"/>
      </rPr>
      <t xml:space="preserve"> = Presupuesto definitivo asociado a la ejecución de la acción o proyecto i relacionado con la recuperación o rehabilitación de suelos degradados, en el año t.</t>
    </r>
  </si>
  <si>
    <t>Para su cálculo, se reporta la siguiente información:</t>
  </si>
  <si>
    <t>Meta de suelos degradados en recuperación o rehabilitación (ha)</t>
  </si>
  <si>
    <t>Áreas de suelos degradados en recuperación o rehabilitación (ha)</t>
  </si>
  <si>
    <t>Porcentaje de suelos degradados en recuperación o rehabilitación (C = B / A)</t>
  </si>
  <si>
    <t>(*) Adicione tantas filas cuantas sean necesarias.</t>
  </si>
  <si>
    <t xml:space="preserve">Tipo de acción </t>
  </si>
  <si>
    <t>Área de intervención (ha)</t>
  </si>
  <si>
    <t>Ppto. inicial</t>
  </si>
  <si>
    <t>Presupuesto Definitivo</t>
  </si>
  <si>
    <r>
      <t>Cuanto más cercano a cien por ciento, mayor es el cumplimiento de las metas establecidas por la Corporación en materia de recuperación o rehabilitación</t>
    </r>
    <r>
      <rPr>
        <b/>
        <sz val="9"/>
        <color rgb="FF000000"/>
        <rFont val="Calibri"/>
        <family val="2"/>
        <scheme val="minor"/>
      </rPr>
      <t xml:space="preserve"> </t>
    </r>
    <r>
      <rPr>
        <sz val="9"/>
        <color rgb="FF000000"/>
        <rFont val="Calibri"/>
        <family val="2"/>
        <scheme val="minor"/>
      </rPr>
      <t>de suelos degradados.</t>
    </r>
  </si>
  <si>
    <t>Se pueden presentar situaciones de orden operativo, financiero, político y social que pueden afectar los presupuestos y los cronogramas definidos en el Plan de Acción de la Corporación.</t>
  </si>
  <si>
    <r>
      <t>Hoja Metodológica de referencia:</t>
    </r>
    <r>
      <rPr>
        <sz val="9"/>
        <color rgb="FF000000"/>
        <rFont val="Calibri"/>
        <family val="2"/>
        <scheme val="minor"/>
      </rPr>
      <t xml:space="preserve"> MADS (2016). </t>
    </r>
    <r>
      <rPr>
        <i/>
        <sz val="9"/>
        <color rgb="FF000000"/>
        <rFont val="Calibri"/>
        <family val="2"/>
        <scheme val="minor"/>
      </rPr>
      <t>Hoja metodológica Porcentaje de suelos degradados en recuperación o rehabilitación. (Versión 1.0).</t>
    </r>
    <r>
      <rPr>
        <sz val="9"/>
        <color rgb="FF000000"/>
        <rFont val="Calibri"/>
        <family val="2"/>
        <scheme val="minor"/>
      </rPr>
      <t xml:space="preserve"> Ministerio de Ambiente y Desarrollo Sostenible MADS, DGOAT-SINA y DAASU.</t>
    </r>
  </si>
  <si>
    <t>Porcentaje de la superficie de áreas protegidas regionales declaradas, homologadas o recategorizadas, inscritas en el RUNAP</t>
  </si>
  <si>
    <t>Mide la superficie en hectáreas de las áreas protegidas regionales, declaradas homologadas o recategorizadas inscritas en el RUNAP, con respecto a la meta de áreas protegidas regionales definida en el Plan de Acción de la Corporación. Comprende las áreas protegidas tanto continentales como marinas, costeras e insulares.</t>
  </si>
  <si>
    <t>El indicador busca hacer seguimiento a la contribución de las CAR a la Política Nacional de Gestión Integral de la Biodiversidad y sus Servicios Ecosistémicos y específicamente a la estrategia de declaración de áreas protegidas.</t>
  </si>
  <si>
    <t>Contribución a la Meta del plan de desarrollo (Hectáreas de Áreas Protegidas declaradas en el SINAP)</t>
  </si>
  <si>
    <t>Resolución 1125 de 2015.</t>
  </si>
  <si>
    <t>Política Nacional de Gestión Integral de la Biodiversidad y sus Servicios Ecosistémicos.</t>
  </si>
  <si>
    <t>Ruta declaratoria de áreas protegidas del Sistema Nacional de Áreas Protegidas (SINAP).</t>
  </si>
  <si>
    <t>Plan Nacional de Desarrollo 2014-2018.</t>
  </si>
  <si>
    <t>El Convenio sobre Diversidad Biológica, aprobado por la Ley 165 de 1994, señala que los objetivos de conservación de la biodiversidad que se persiguen son: la conservación de la diversidad, la utilización sostenible de sus componentes y la participación justa y equitativa en los beneficios que se deriven del uso de recursos genéticos.</t>
  </si>
  <si>
    <t>La Decisión VII.28 de la Séptima Conferencia de las Partes -COP 7- del Convenio sobre Diversidad Biológica, aprobó el Programa Temático de Áreas Protegidas que confirma que es indispensable hacer esfuerzos para establecer y mantener sistemas de áreas protegidas, aplicando el enfoque ecosistémico con el objetivo de establecer y mantener sistemas completos, eficazmente manejados y ecológicamente representativos de áreas protegidas.</t>
  </si>
  <si>
    <r>
      <t xml:space="preserve">La Meta 11 de Aichi planteada en el marco del plan estratégico de biodiversidad definido en Nagoya establece que para </t>
    </r>
    <r>
      <rPr>
        <b/>
        <sz val="9"/>
        <color rgb="FF000000"/>
        <rFont val="Calibri"/>
        <family val="2"/>
        <scheme val="minor"/>
      </rPr>
      <t xml:space="preserve">2020, </t>
    </r>
    <r>
      <rPr>
        <sz val="9"/>
        <color rgb="FF000000"/>
        <rFont val="Calibri"/>
        <family val="2"/>
        <scheme val="minor"/>
      </rPr>
      <t xml:space="preserve">al menos el </t>
    </r>
    <r>
      <rPr>
        <b/>
        <sz val="9"/>
        <color rgb="FF000000"/>
        <rFont val="Calibri"/>
        <family val="2"/>
        <scheme val="minor"/>
      </rPr>
      <t xml:space="preserve">17 por ciento de las zonas terrestres </t>
    </r>
    <r>
      <rPr>
        <sz val="9"/>
        <color rgb="FF000000"/>
        <rFont val="Calibri"/>
        <family val="2"/>
        <scheme val="minor"/>
      </rPr>
      <t xml:space="preserve">y de aguas continentales y el </t>
    </r>
    <r>
      <rPr>
        <b/>
        <sz val="9"/>
        <color rgb="FF000000"/>
        <rFont val="Calibri"/>
        <family val="2"/>
        <scheme val="minor"/>
      </rPr>
      <t xml:space="preserve">10 por ciento de las zonas marinas y costeras, </t>
    </r>
    <r>
      <rPr>
        <sz val="9"/>
        <color rgb="FF000000"/>
        <rFont val="Calibri"/>
        <family val="2"/>
        <scheme val="minor"/>
      </rPr>
      <t xml:space="preserve">especialmente aquellas de particular importancia para la diversidad biológica y los servicios de los ecosistemas, </t>
    </r>
    <r>
      <rPr>
        <b/>
        <sz val="9"/>
        <color rgb="FF000000"/>
        <rFont val="Calibri"/>
        <family val="2"/>
        <scheme val="minor"/>
      </rPr>
      <t xml:space="preserve">se conservan por medio de sistemas de áreas protegidas administrados de manera eficaz y equitativa, ecológicamente representativos y bien conectados </t>
    </r>
    <r>
      <rPr>
        <sz val="9"/>
        <color rgb="FF000000"/>
        <rFont val="Calibri"/>
        <family val="2"/>
        <scheme val="minor"/>
      </rPr>
      <t>y otras medidas de conservación eficaces basadas en áreas, y están integradas en los paisajes terrestres y marinos más amplios.</t>
    </r>
  </si>
  <si>
    <t>En tal sentido, el Decreto 1076 de 2015 define un área protegida como una superficie definida geográficamente que haya sido designada, regulada y administrada a fin de alcanzar objetivos específicos de conservación.</t>
  </si>
  <si>
    <t>De acuerdo con el Decreto 1076 de 2015, las categorías de áreas protegidas son: Sistema de Parques Nacionales Naturales, Reserva Forestal Protectora Nacional, Distrito de Manejo Integrado Nacional, Reserva Forestal Protectora Regional, Distrito de Manejo Integrado Regional, Distrito de Conservación de Suelos, Área de Recreación y Reserva Natural de la Sociedad Civil.</t>
  </si>
  <si>
    <r>
      <t xml:space="preserve">PAPR </t>
    </r>
    <r>
      <rPr>
        <vertAlign val="subscript"/>
        <sz val="9"/>
        <color rgb="FF000000"/>
        <rFont val="Calibri"/>
        <family val="2"/>
        <scheme val="minor"/>
      </rPr>
      <t>t</t>
    </r>
    <r>
      <rPr>
        <sz val="9"/>
        <color rgb="FF000000"/>
        <rFont val="Calibri"/>
        <family val="2"/>
        <scheme val="minor"/>
      </rPr>
      <t xml:space="preserve"> = Porcentaje de áreas protegidas regionales declaradas, homologadas o recategorizadas, inscritas en el RUNAP, en el tiempo t.</t>
    </r>
  </si>
  <si>
    <r>
      <t xml:space="preserve">SAPR </t>
    </r>
    <r>
      <rPr>
        <vertAlign val="subscript"/>
        <sz val="9"/>
        <color rgb="FF000000"/>
        <rFont val="Calibri"/>
        <family val="2"/>
        <scheme val="minor"/>
      </rPr>
      <t>it</t>
    </r>
    <r>
      <rPr>
        <sz val="9"/>
        <color rgb="FF000000"/>
        <rFont val="Calibri"/>
        <family val="2"/>
        <scheme val="minor"/>
      </rPr>
      <t xml:space="preserve"> = Superficie de áreas protegidas regionales declaradas, homologadas o recategorizadas, inscritas en el RUNAP (ha), en el tiempo t.</t>
    </r>
  </si>
  <si>
    <r>
      <t xml:space="preserve">MAPR </t>
    </r>
    <r>
      <rPr>
        <vertAlign val="subscript"/>
        <sz val="9"/>
        <color rgb="FF000000"/>
        <rFont val="Calibri"/>
        <family val="2"/>
        <scheme val="minor"/>
      </rPr>
      <t>it</t>
    </r>
    <r>
      <rPr>
        <sz val="9"/>
        <color rgb="FF000000"/>
        <rFont val="Calibri"/>
        <family val="2"/>
        <scheme val="minor"/>
      </rPr>
      <t xml:space="preserve"> = Meta de áreas protegidas regionales declaradas, homologadas o recategorizadas, inscritas en el RUNAP (ha), en el tiempo t.</t>
    </r>
  </si>
  <si>
    <t>Continentales</t>
  </si>
  <si>
    <t>Meta de áreas protegidas regionales a ser homologadas o recategorizadas, e inscritas en el RUNAP en el cuatrienio (ha)</t>
  </si>
  <si>
    <t>(*) si aplica. Para evitar doble contabilidad, se clasifican en el grupo de áreas marinas, costeras e insulares, aquellas áreas protegidas con superficie tanto en áreas marinas y continentales.</t>
  </si>
  <si>
    <t>AREAS PROTEGIDAS CONTINENTALES</t>
  </si>
  <si>
    <t>Número de áreas protegidas en proceso de declaratoria (*)</t>
  </si>
  <si>
    <t>Meta de áreas inscritas en el RUNAP</t>
  </si>
  <si>
    <t>Sin iniciar</t>
  </si>
  <si>
    <t>FASE I: Preparación</t>
  </si>
  <si>
    <t>FASE II: Aprestamiento</t>
  </si>
  <si>
    <t>FASE III: Declaratoria o Ampliación</t>
  </si>
  <si>
    <t>(*) Ubique cada área protegida sólo en la última etapa que se encuentre</t>
  </si>
  <si>
    <t>La suma de las áreas protegidas debe ser igual a la meta de número de áreas protegidas en el cuatrienio</t>
  </si>
  <si>
    <t>Superficie de áreas protegidas en proceso de declaratoria (*)</t>
  </si>
  <si>
    <t>(*) Ubique la superficie de cada área protegida sólo en la última etapa que se encuentre</t>
  </si>
  <si>
    <t>La suma de las áreas protegidas debe ser igual a la meta de superficie de áreas protegidas en el cuatrienio.</t>
  </si>
  <si>
    <t>AREAS PROTEGIDAS MARINAS, COSTERAS E INSULARES</t>
  </si>
  <si>
    <t>Relación de áreas protegidas en proceso de declaración</t>
  </si>
  <si>
    <t>Nombre de área protegida</t>
  </si>
  <si>
    <t>Tipo (continental, marina, costera, insular)</t>
  </si>
  <si>
    <t>Categoría</t>
  </si>
  <si>
    <t>Superficie en acto administrativo (ha) (*)</t>
  </si>
  <si>
    <t>Superficie en shape (ha)(a)</t>
  </si>
  <si>
    <t>Estado de avance (b)</t>
  </si>
  <si>
    <t>Acto administrativo</t>
  </si>
  <si>
    <t>de declaratoria</t>
  </si>
  <si>
    <t>(a) superficie estimada</t>
  </si>
  <si>
    <t>(b) en preparación, en aprestamiento, en declaración y declarado. Si está declarado, escriba el número del acto administrativo correspondiente.</t>
  </si>
  <si>
    <t>Cuanto más cercano a cien por ciento, mayor es el cumplimiento de las metas establecidas por la Corporación en materia de declaración de nuevas áreas protegidas.</t>
  </si>
  <si>
    <t>Se pueden llegar a presentar superposiciones en áreas protegidas declaradas u homologadas, es decir, que sobre una misma área se hayan declarado una figura regional o una nacional, con distintas definiciones y regímenes de manejo. Para efectos del presente indicador sólo se cuantificará una vez el área, eliminando en el reporte de área las superposiciones, es decir, que se deberá contar solo una vez las áreas traslapadas.</t>
  </si>
  <si>
    <r>
      <t>Lo anterior teniendo en cuenta que el artículo 2.2.2.1.3.5 del Decreto 1076 de 2015 (artículo 26 del Decreto 2372 de 2010) contempla que “</t>
    </r>
    <r>
      <rPr>
        <i/>
        <sz val="9"/>
        <color rgb="FF000000"/>
        <rFont val="Calibri"/>
        <family val="2"/>
        <scheme val="minor"/>
      </rPr>
      <t>No podrán superponerse categorías de manejo de áreas públicas</t>
    </r>
    <r>
      <rPr>
        <sz val="9"/>
        <color rgb="FF000000"/>
        <rFont val="Calibri"/>
        <family val="2"/>
        <scheme val="minor"/>
      </rPr>
      <t xml:space="preserve">”. Por tal razón, recomendamos a las Autoridades Ambientales revisar la información oficial que se encuentra en el RUNAP y cotejarla con sus procesos de declaratoria para evitar traslapes que pueden llegar a limitar el registro de las áreas protegidas en el RUNAP. </t>
    </r>
  </si>
  <si>
    <r>
      <t>Hoja Metodológica de referencia:</t>
    </r>
    <r>
      <rPr>
        <sz val="9"/>
        <color rgb="FF000000"/>
        <rFont val="Calibri"/>
        <family val="2"/>
        <scheme val="minor"/>
      </rPr>
      <t xml:space="preserve"> MADS (2016). </t>
    </r>
    <r>
      <rPr>
        <i/>
        <sz val="9"/>
        <color rgb="FF000000"/>
        <rFont val="Calibri"/>
        <family val="2"/>
        <scheme val="minor"/>
      </rPr>
      <t>Hoja metodológica Porcentaje de la Superficie de áreas protegidas regionales declaradas, homologadas o recategorizadas, inscritas en el RUNAP (Versión 1.0).</t>
    </r>
    <r>
      <rPr>
        <sz val="9"/>
        <color rgb="FF000000"/>
        <rFont val="Calibri"/>
        <family val="2"/>
        <scheme val="minor"/>
      </rPr>
      <t xml:space="preserve"> Ministerio de Ambiente y Desarrollo Sostenible MADS y Parques Nacionales de Colombia.</t>
    </r>
  </si>
  <si>
    <t>Se recomienda a las Autoridades Ambientales enviar adicionalmente reportes cualitativos del avance de los procesos de declaratoria regionales de manera periódica (mensualmente) a Parques Nacionales Naturales de Colombia, dado que en el marco de la Coordinación del SINAP y Administración del RUNAP debe entregar el respectivo reporte oficial al DNP y diferentes entidades.</t>
  </si>
  <si>
    <t>Porcentaje de páramos delimitados por el MADS, con zonificación y régimen de usos adoptados por la CAR</t>
  </si>
  <si>
    <t>Es el porcentaje de páramos con zonificación y régimen de usos adoptados por la CAR, en relación con los páramos delimitados por el MADS en la jurisdicción de la Corporación.</t>
  </si>
  <si>
    <t>Mide el avance en la zonificación y en la determinación del régimen de usos, de las áreas de páramo delimitadas por el MADS, que están ubicados en la jurisdicción de la Corporación. De esta manera, el indicador busca hacer seguimiento a la contribución de las CAR a la ejecución de la Política Nacional de Gestión Integral de la Biodiversidad y sus Servicios Ecosistémicos.</t>
  </si>
  <si>
    <t>Ley 1753 de 2015</t>
  </si>
  <si>
    <t>Resolución 769 de 2002</t>
  </si>
  <si>
    <t>Resolución 839 de 2003</t>
  </si>
  <si>
    <t>Resolución 1128 de 2006</t>
  </si>
  <si>
    <t>Resolución 937 de 2011</t>
  </si>
  <si>
    <t>Los ecosistemas de páramos han sido reconocidos como áreas de especial importancia ecológica que cuentan con una protección especial por parte del Estado, toda vez que resultan de vital importancia por los servicios ecosistémicos que prestan a la población colombiana, especialmente los relacionados con la estabilidad de los ciclos climáticos e hidrológicos y con la regulación de los flujos de agua en cantidad y calidad.</t>
  </si>
  <si>
    <t>Por ello, el artículo 1° de la Ley 99 de 1993, establece entre los Principios Generales Ambientales que las zonas de páramos, subpáramos, los nacimientos de agua y las zonas de recarga de acuíferos serán objeto de protección especial.</t>
  </si>
  <si>
    <t>El artículo 173 de la Ley 1753 de 2015 determina que en las áreas delimitadas como páramos no se podrán adelantar actividades agropecuarias ni de exploración o explotación de recursos naturales no renovables, ni construcción de refinerías de hidrocarburos.</t>
  </si>
  <si>
    <t>El Parágrafo 3 del mencionado artículo establece que “dentro de los tres (3) años siguientes a la delimitación, las autoridades ambientales deberán zonificar y determinar el régimen de usos del área de páramo delimitada, de acuerdo con los lineamientos que para el efecto defina el Ministerio de Ambiente y Desarrollo Sostenible”.</t>
  </si>
  <si>
    <r>
      <t xml:space="preserve">PPDZRU </t>
    </r>
    <r>
      <rPr>
        <vertAlign val="subscript"/>
        <sz val="9"/>
        <color rgb="FF000000"/>
        <rFont val="Calibri"/>
        <family val="2"/>
        <scheme val="minor"/>
      </rPr>
      <t>t</t>
    </r>
    <r>
      <rPr>
        <sz val="9"/>
        <color rgb="FF000000"/>
        <rFont val="Calibri"/>
        <family val="2"/>
        <scheme val="minor"/>
      </rPr>
      <t xml:space="preserve"> = Porcentaje de los páramos delimitados por el MADS, a los cuales la CAR les expide el Acto Administrativo de zonificación y régimen de usos, en el tiempo t.</t>
    </r>
  </si>
  <si>
    <r>
      <t xml:space="preserve">PZRU </t>
    </r>
    <r>
      <rPr>
        <vertAlign val="subscript"/>
        <sz val="9"/>
        <color rgb="FF000000"/>
        <rFont val="Calibri"/>
        <family val="2"/>
        <scheme val="minor"/>
      </rPr>
      <t>it</t>
    </r>
    <r>
      <rPr>
        <sz val="9"/>
        <color rgb="FF000000"/>
        <rFont val="Calibri"/>
        <family val="2"/>
        <scheme val="minor"/>
      </rPr>
      <t xml:space="preserve"> = Número de páramos previamente delimitados por el MADS en la jurisdicción de la CAR, a los cuales la CAR les expide el Acto Administrativo de zonificación y régimen de usos, en el tiempo t.</t>
    </r>
  </si>
  <si>
    <r>
      <t xml:space="preserve">PD </t>
    </r>
    <r>
      <rPr>
        <vertAlign val="subscript"/>
        <sz val="9"/>
        <color rgb="FF000000"/>
        <rFont val="Calibri"/>
        <family val="2"/>
        <scheme val="minor"/>
      </rPr>
      <t>it</t>
    </r>
    <r>
      <rPr>
        <sz val="9"/>
        <color rgb="FF000000"/>
        <rFont val="Calibri"/>
        <family val="2"/>
        <scheme val="minor"/>
      </rPr>
      <t xml:space="preserve"> = Número de páramos delimitados por el MADS en la jurisdicción de la CAR, en el tiempo t.</t>
    </r>
  </si>
  <si>
    <t>Reporte de avance</t>
  </si>
  <si>
    <t>Etapa</t>
  </si>
  <si>
    <t>Páramos delimitados por el MADS (número) ubicados en la jurisdicción de la Corporación</t>
  </si>
  <si>
    <t>Actos Administrativos de la CAR que adoptan la Zonificación y régimen de usos de páramos (número)</t>
  </si>
  <si>
    <t>Cuanto más cercano a cien por ciento, mayor es el cumplimiento de las metas de la autoridad ambiental en la gestión de paramos ubicados en la jurisdicción de la Corporación.</t>
  </si>
  <si>
    <r>
      <t>Hoja Metodológica de referencia:</t>
    </r>
    <r>
      <rPr>
        <sz val="9"/>
        <color rgb="FF000000"/>
        <rFont val="Calibri"/>
        <family val="2"/>
        <scheme val="minor"/>
      </rPr>
      <t xml:space="preserve"> MADS (2016). </t>
    </r>
    <r>
      <rPr>
        <i/>
        <sz val="9"/>
        <color rgb="FF000000"/>
        <rFont val="Calibri"/>
        <family val="2"/>
        <scheme val="minor"/>
      </rPr>
      <t>Hoja metodológica Porcentaje de páramos delimitados, con zonificación y régimen de usos (Versión 1.0).</t>
    </r>
    <r>
      <rPr>
        <sz val="9"/>
        <color rgb="FF000000"/>
        <rFont val="Calibri"/>
        <family val="2"/>
        <scheme val="minor"/>
      </rPr>
      <t xml:space="preserve"> Ministerio de Ambiente y Desarrollo Sostenible MADS, DGOAT-SINA y DBBSE.</t>
    </r>
  </si>
  <si>
    <t>Observaciones.</t>
  </si>
  <si>
    <t>Porcentaje de avance en la formulación del Plan de Ordenación Forestal</t>
  </si>
  <si>
    <t>Es el porcentaje de avance en la formulación del Plan de Ordenación Forestal, con respecto a la meta de Ordenación Forestal definida en el Plan de Acción de la Corporación.</t>
  </si>
  <si>
    <t>Mide el avance del Plan de Ordenación Forestal, con respecto a la meta de Ordenación Forestal definida en el Plan de Acción de la Corporación. De esta manera, el indicador busca hacer seguimiento a la contribución de las CAR a la Política Nacional de Gestión Integral de la Biodiversidad y sus Servicios Ecosistémicos, así como a los instrumentos de política relacionados con el recurso forestal.</t>
  </si>
  <si>
    <r>
      <t>·</t>
    </r>
    <r>
      <rPr>
        <sz val="7"/>
        <color rgb="FF000000"/>
        <rFont val="Times New Roman"/>
        <family val="1"/>
      </rPr>
      <t xml:space="preserve">        </t>
    </r>
    <r>
      <rPr>
        <sz val="9"/>
        <color rgb="FF000000"/>
        <rFont val="Calibri"/>
        <family val="2"/>
      </rPr>
      <t>Ley 2ª de 1959</t>
    </r>
  </si>
  <si>
    <r>
      <t>·</t>
    </r>
    <r>
      <rPr>
        <sz val="7"/>
        <color rgb="FF000000"/>
        <rFont val="Times New Roman"/>
        <family val="1"/>
      </rPr>
      <t xml:space="preserve">        </t>
    </r>
    <r>
      <rPr>
        <sz val="9"/>
        <color rgb="FF000000"/>
        <rFont val="Calibri"/>
        <family val="2"/>
      </rPr>
      <t>Ley 99 de 1993</t>
    </r>
  </si>
  <si>
    <r>
      <t>·</t>
    </r>
    <r>
      <rPr>
        <sz val="7"/>
        <color rgb="FF000000"/>
        <rFont val="Times New Roman"/>
        <family val="1"/>
      </rPr>
      <t xml:space="preserve">        </t>
    </r>
    <r>
      <rPr>
        <sz val="9"/>
        <color rgb="FF000000"/>
        <rFont val="Calibri"/>
        <family val="2"/>
      </rPr>
      <t>Decreto-Ley 2811 de 1974.</t>
    </r>
  </si>
  <si>
    <r>
      <t>·</t>
    </r>
    <r>
      <rPr>
        <sz val="7"/>
        <color rgb="FF000000"/>
        <rFont val="Times New Roman"/>
        <family val="1"/>
      </rPr>
      <t xml:space="preserve">        </t>
    </r>
    <r>
      <rPr>
        <sz val="9"/>
        <color rgb="FF000000"/>
        <rFont val="Calibri"/>
        <family val="2"/>
      </rPr>
      <t>Decreto 1076 de 2015.</t>
    </r>
  </si>
  <si>
    <t>Los artículos 8°, 79 y 80 de la Constitución Política de Colombia, señalan que es deber del Estado proteger la diversidad e integridad del ambiente, conservar las áreas de especial importancia ecológica, fomentar la educación para el logro de estos fines, planificar el manejo y aprovechamiento de los recursos naturales para garantizar su desarrollo sostenible, su conservación, restauración o sustitución.</t>
  </si>
  <si>
    <t>El Plan de ordenación forestal es el estudio elaborado por las Corporaciones que, fundamentado en la descripción de los aspectos bióticos, abióticos, sociales y económicos, tiene por objeto asegurar que el interesado en utilizar el recurso en un área forestal productora, desarrolle su actividad en forma planificada para así garantizar el manejo adecuado y el aprovechamiento sostenible del recurso</t>
  </si>
  <si>
    <r>
      <t xml:space="preserve">PAPOF </t>
    </r>
    <r>
      <rPr>
        <vertAlign val="subscript"/>
        <sz val="9"/>
        <color rgb="FF000000"/>
        <rFont val="Calibri"/>
        <family val="2"/>
        <scheme val="minor"/>
      </rPr>
      <t>t</t>
    </r>
    <r>
      <rPr>
        <sz val="9"/>
        <color rgb="FF000000"/>
        <rFont val="Calibri"/>
        <family val="2"/>
        <scheme val="minor"/>
      </rPr>
      <t xml:space="preserve"> = Porcentaje de avance en la formulación del Plan de Ordenación Forestal, en el tiempo t.</t>
    </r>
  </si>
  <si>
    <r>
      <t xml:space="preserve">APOF </t>
    </r>
    <r>
      <rPr>
        <vertAlign val="subscript"/>
        <sz val="9"/>
        <color rgb="FF000000"/>
        <rFont val="Calibri"/>
        <family val="2"/>
        <scheme val="minor"/>
      </rPr>
      <t>it</t>
    </r>
    <r>
      <rPr>
        <sz val="9"/>
        <color rgb="FF000000"/>
        <rFont val="Calibri"/>
        <family val="2"/>
        <scheme val="minor"/>
      </rPr>
      <t xml:space="preserve"> = Superficie de avance en la formulación del Plan de Ordenación Forestal (ha), en el tiempo t.</t>
    </r>
  </si>
  <si>
    <r>
      <t xml:space="preserve">MAPOF </t>
    </r>
    <r>
      <rPr>
        <vertAlign val="subscript"/>
        <sz val="9"/>
        <color rgb="FF000000"/>
        <rFont val="Calibri"/>
        <family val="2"/>
        <scheme val="minor"/>
      </rPr>
      <t>it</t>
    </r>
    <r>
      <rPr>
        <sz val="9"/>
        <color rgb="FF000000"/>
        <rFont val="Calibri"/>
        <family val="2"/>
        <scheme val="minor"/>
      </rPr>
      <t xml:space="preserve"> = Meta de avance en la formulación del Plan de Ordenación Forestal (ha), en el tiempo t.</t>
    </r>
  </si>
  <si>
    <t>Meta de nuevas hectáreas forestales a ser ordenadas en el Plan de Ordenación Forestal en el cuatrienio (ha)</t>
  </si>
  <si>
    <t>Meta de hectáreas forestales a ser actualizadas en el Plan de Ordenación Forestal en el cuatrienio (ha) -si aplica-</t>
  </si>
  <si>
    <t>Meta: hectáreas forestales sujeto de ordenación en el cuatrienio (ha) (B+C)</t>
  </si>
  <si>
    <t>Superficie a ser ordenada en el Plan de Ordenación Forestal (*)</t>
  </si>
  <si>
    <t>Meta: hectáreas forestales sujeto de ordenación (a)</t>
  </si>
  <si>
    <t>En formulación</t>
  </si>
  <si>
    <t>En actualización</t>
  </si>
  <si>
    <t>Plan forestal adoptado</t>
  </si>
  <si>
    <t>(*) Ubique cada superficie sólo en la última etapa que se encuentre</t>
  </si>
  <si>
    <t>La suma de la superficie de las áreas en proceso de ordenación debe ser igual a la meta de hectáreas forestales a ser ordenadas.</t>
  </si>
  <si>
    <t>Relación de áreas a ser ordenadas en el Plan de Ordenación Forestal</t>
  </si>
  <si>
    <t>Nombre del área a ser ordenada</t>
  </si>
  <si>
    <t>Municipios donde se ubica</t>
  </si>
  <si>
    <t>Superficie (ha)</t>
  </si>
  <si>
    <t>Estado de avance (a)</t>
  </si>
  <si>
    <t>Acto administrativo de adopción</t>
  </si>
  <si>
    <t>(a) en formulación, en actualización, en adopción, adoptado. Si está adoptado, escriba el número del acto administrativo correspondiente.</t>
  </si>
  <si>
    <t>Cuanto más cercano a cien por ciento, mayor es el cumplimiento de las metas establecidas por la Corporación en materia de ordenación de las áreas forestales.</t>
  </si>
  <si>
    <r>
      <t>Hoja Metodológica de referencia:</t>
    </r>
    <r>
      <rPr>
        <sz val="9"/>
        <color rgb="FF000000"/>
        <rFont val="Calibri"/>
        <family val="2"/>
        <scheme val="minor"/>
      </rPr>
      <t xml:space="preserve"> MADS (2016). </t>
    </r>
    <r>
      <rPr>
        <i/>
        <sz val="9"/>
        <color rgb="FF000000"/>
        <rFont val="Calibri"/>
        <family val="2"/>
        <scheme val="minor"/>
      </rPr>
      <t>Hoja metodológica Porcentaje de avance en la formulación del Plan de Ordenación Forestal (Versión 1.0).</t>
    </r>
    <r>
      <rPr>
        <sz val="9"/>
        <color rgb="FF000000"/>
        <rFont val="Calibri"/>
        <family val="2"/>
        <scheme val="minor"/>
      </rPr>
      <t xml:space="preserve"> Ministerio de Ambiente y Desarrollo Sostenible MADS, DGOAT-SINA y DBBSE.</t>
    </r>
  </si>
  <si>
    <t>Porcentaje de áreas protegidas con planes de manejo en ejecución</t>
  </si>
  <si>
    <t xml:space="preserve">Descripción del Indicador </t>
  </si>
  <si>
    <t>Es la relación entre el número de áreas protegidas con planes de manejo en ejecución y el número de áreas protegidas regionales en jurisdicción de la Corporación registradas en el RUNAP, cuya administración es responsabilidad de la autoridad ambiental. Comprende áreas protegidas tanto continentales como marinas, costeras e insulares.</t>
  </si>
  <si>
    <t>El indicador mide que la autoridad ambiental realice acciones dirigidas a la implementación de los planes de manejo de las áreas protegidas, cuya administración es responsabilidad de la autoridad ambiental. De esta manera, la Corporación contribuye a la ejecución a nivel regional de la Política Nacional de Gestión de la Biodiversidad y sus Servicios Ecosistémicos.</t>
  </si>
  <si>
    <t>Política Nacional de Gestión Integral de la Biodiversidad y sus Servicios Ecosistémicos</t>
  </si>
  <si>
    <t>El mencionado Decreto, establece las categorías de áreas protegidas nacionales y regionales.</t>
  </si>
  <si>
    <t>Adicionalmente, el Decreto ibídem, establece que cada una de las áreas protegidas que integran el SINAP contarán con un plan de manejo que será el principal instrumento de planificación que orienta su gestión de conservación para un periodo de cinco (5) años de manera que se evidencien resultados frente al logro de los objetivos de conservación que motivaron su designación y su contribución al desarrollo del SINAP. Este plan deberá formularse dentro del año siguiente a la declaratoria o en el caso de las áreas existentes que se integren al SINAP dentro del año siguiente al registro.</t>
  </si>
  <si>
    <t>Indicador Porcentaje de áreas protegidas con planes de manejo en ejecución</t>
  </si>
  <si>
    <r>
      <t xml:space="preserve">PAPME </t>
    </r>
    <r>
      <rPr>
        <vertAlign val="subscript"/>
        <sz val="9"/>
        <color rgb="FF000000"/>
        <rFont val="Calibri"/>
        <family val="2"/>
        <scheme val="minor"/>
      </rPr>
      <t>t</t>
    </r>
    <r>
      <rPr>
        <sz val="9"/>
        <color rgb="FF000000"/>
        <rFont val="Calibri"/>
        <family val="2"/>
        <scheme val="minor"/>
      </rPr>
      <t xml:space="preserve"> = Porcentaje de áreas protegidas con planes de manejo en ejecución, en el tiempo t.</t>
    </r>
  </si>
  <si>
    <r>
      <t xml:space="preserve">APME </t>
    </r>
    <r>
      <rPr>
        <vertAlign val="subscript"/>
        <sz val="9"/>
        <color rgb="FF000000"/>
        <rFont val="Calibri"/>
        <family val="2"/>
        <scheme val="minor"/>
      </rPr>
      <t>it</t>
    </r>
    <r>
      <rPr>
        <sz val="9"/>
        <color rgb="FF000000"/>
        <rFont val="Calibri"/>
        <family val="2"/>
        <scheme val="minor"/>
      </rPr>
      <t xml:space="preserve"> = Número de áreas protegidas </t>
    </r>
    <r>
      <rPr>
        <i/>
        <sz val="9"/>
        <color rgb="FF000000"/>
        <rFont val="Calibri"/>
        <family val="2"/>
        <scheme val="minor"/>
      </rPr>
      <t>i</t>
    </r>
    <r>
      <rPr>
        <sz val="9"/>
        <color rgb="FF000000"/>
        <rFont val="Calibri"/>
        <family val="2"/>
        <scheme val="minor"/>
      </rPr>
      <t xml:space="preserve"> con planes de manejo en ejecución, en el tiempo t.</t>
    </r>
  </si>
  <si>
    <r>
      <t xml:space="preserve">APCAR </t>
    </r>
    <r>
      <rPr>
        <vertAlign val="subscript"/>
        <sz val="9"/>
        <color rgb="FF000000"/>
        <rFont val="Calibri"/>
        <family val="2"/>
        <scheme val="minor"/>
      </rPr>
      <t>it</t>
    </r>
    <r>
      <rPr>
        <sz val="9"/>
        <color rgb="FF000000"/>
        <rFont val="Calibri"/>
        <family val="2"/>
        <scheme val="minor"/>
      </rPr>
      <t xml:space="preserve"> = Número de áreas protegidas </t>
    </r>
    <r>
      <rPr>
        <i/>
        <sz val="9"/>
        <color rgb="FF000000"/>
        <rFont val="Calibri"/>
        <family val="2"/>
        <scheme val="minor"/>
      </rPr>
      <t>i</t>
    </r>
    <r>
      <rPr>
        <sz val="9"/>
        <color rgb="FF000000"/>
        <rFont val="Calibri"/>
        <family val="2"/>
        <scheme val="minor"/>
      </rPr>
      <t xml:space="preserve"> cuya administración es responsabilidad de la Corporación Autónoma Regional, en el tiempo t.</t>
    </r>
  </si>
  <si>
    <t>Inversión asociada a la ejecución de los planes de manejo de áreas protegidas</t>
  </si>
  <si>
    <r>
      <t xml:space="preserve">IPMAP </t>
    </r>
    <r>
      <rPr>
        <vertAlign val="subscript"/>
        <sz val="9"/>
        <color rgb="FF000000"/>
        <rFont val="Calibri"/>
        <family val="2"/>
        <scheme val="minor"/>
      </rPr>
      <t>t</t>
    </r>
    <r>
      <rPr>
        <sz val="9"/>
        <color rgb="FF000000"/>
        <rFont val="Calibri"/>
        <family val="2"/>
        <scheme val="minor"/>
      </rPr>
      <t xml:space="preserve"> = Inversión asociada a la ejecución de los planes de manejo de las áreas protegidas a cargo de la Corporación Autónoma Regional, en el año t.</t>
    </r>
  </si>
  <si>
    <r>
      <t xml:space="preserve">PDAP </t>
    </r>
    <r>
      <rPr>
        <vertAlign val="subscript"/>
        <sz val="9"/>
        <color rgb="FF000000"/>
        <rFont val="Calibri"/>
        <family val="2"/>
        <scheme val="minor"/>
      </rPr>
      <t>i</t>
    </r>
    <r>
      <rPr>
        <sz val="9"/>
        <color rgb="FF000000"/>
        <rFont val="Calibri"/>
        <family val="2"/>
        <scheme val="minor"/>
      </rPr>
      <t xml:space="preserve"> = Presupuesto definitivo asociado a la ejecución del plan de manejo del área protegida i, en el año t.</t>
    </r>
  </si>
  <si>
    <t>VARIABLE</t>
  </si>
  <si>
    <t>CONTINENTALES</t>
  </si>
  <si>
    <t>MARINAS, COSTERAS E INSULARES</t>
  </si>
  <si>
    <t>TOTAL</t>
  </si>
  <si>
    <t xml:space="preserve">Número de áreas protegidas cuya administración es responsabilidad de la Corporación Autónoma Regional </t>
  </si>
  <si>
    <t>Número de áreas protegidas con plan de manejo adoptado</t>
  </si>
  <si>
    <t>Número de áreas protegidas con plan de manejo en ejecución</t>
  </si>
  <si>
    <t>Inversión asociada a la ejecución de los planes de manejo de áreas protegidas (Millones de $)</t>
  </si>
  <si>
    <t>Nombre de AP</t>
  </si>
  <si>
    <t>Categoría de AP</t>
  </si>
  <si>
    <t>Ppto.</t>
  </si>
  <si>
    <t>Inicial</t>
  </si>
  <si>
    <t>Presupuesto</t>
  </si>
  <si>
    <t>Definitivo</t>
  </si>
  <si>
    <t>Cuanto más cercano a cien por ciento, mayores son las acciones que la autoridad ambiental realiza para la ejecución de los planes de manejo de las áreas protegidas que están a cargo de la Corporación Autónoma Regional.</t>
  </si>
  <si>
    <r>
      <t>Hoja Metodológica de referencia:</t>
    </r>
    <r>
      <rPr>
        <sz val="9"/>
        <color rgb="FF000000"/>
        <rFont val="Calibri"/>
        <family val="2"/>
        <scheme val="minor"/>
      </rPr>
      <t xml:space="preserve"> MADS (2016). </t>
    </r>
    <r>
      <rPr>
        <i/>
        <sz val="9"/>
        <color rgb="FF000000"/>
        <rFont val="Calibri"/>
        <family val="2"/>
        <scheme val="minor"/>
      </rPr>
      <t>Hoja metodológica Porcentaje de áreas protegidas con planes de manejo en ejecución (Versión 1.0).</t>
    </r>
    <r>
      <rPr>
        <sz val="9"/>
        <color rgb="FF000000"/>
        <rFont val="Calibri"/>
        <family val="2"/>
        <scheme val="minor"/>
      </rPr>
      <t xml:space="preserve"> Ministerio de Ambiente y Desarrollo Sostenible y Parques Nacionales Naturales.</t>
    </r>
  </si>
  <si>
    <t>Se recomienda a las autoridades ambientales que una vez el plan de manejo ya esté aprobado y soportado bajo acto administrativo este sea cargado en la Plataforma del RUNAP. http://runap.parquesnacionales.gov.co)</t>
  </si>
  <si>
    <t>Porcentaje de especies amenazadas con medidas de conservación y manejo en ejecución</t>
  </si>
  <si>
    <t>Es la relación entre el número de especies amenazadas con medidas de conservación y manejo en ejecución y el número de especies que cuentan con medidas de manejo formuladas, tanto para fauna y flora como en el medio continental y marino.</t>
  </si>
  <si>
    <t>El indicador mide que la autoridad ambiental realice acciones dirigidas a la implementación de las medidas de conservación y manejo de especies amenazadas. De esta manera, la Corporación contribuye a la ejecución a nivel regional de la Política Nacional de Gestión de la Biodiversidad y sus Servicios Ecosistémicos, así como de las Metas Aichi.</t>
  </si>
  <si>
    <t>Decreto 1071 de 2015, compilatorio del Decreto 1124 de 2013, por el cual se adopta el Plan de Acción Nacional para la Conservación y Manejo de Tiburones, Rayas y Quimeras de Colombia – PAN Tiburones Colombia</t>
  </si>
  <si>
    <t>Resolución 2210 de 2010</t>
  </si>
  <si>
    <t>Resolución 0192 de 2014</t>
  </si>
  <si>
    <t>El Plan Estratégico para la Diversidad Biológica 2011-2020 y las Metas de Aichi se agrupan en los siguientes objetivos estratégicos:</t>
  </si>
  <si>
    <r>
      <t>A.</t>
    </r>
    <r>
      <rPr>
        <sz val="7"/>
        <color rgb="FF000000"/>
        <rFont val="Times New Roman"/>
        <family val="1"/>
      </rPr>
      <t xml:space="preserve">    </t>
    </r>
    <r>
      <rPr>
        <sz val="9"/>
        <color rgb="FF000000"/>
        <rFont val="Calibri"/>
        <family val="2"/>
      </rPr>
      <t>Abordar las causas subyacentes de la pérdida de diversidad biológica mediante la incorporación de la diversidad biológica en todos los ámbitos gubernamentales y de la sociedad.</t>
    </r>
  </si>
  <si>
    <r>
      <t>B.</t>
    </r>
    <r>
      <rPr>
        <sz val="7"/>
        <color rgb="FF000000"/>
        <rFont val="Times New Roman"/>
        <family val="1"/>
      </rPr>
      <t xml:space="preserve">    </t>
    </r>
    <r>
      <rPr>
        <sz val="9"/>
        <color rgb="FF000000"/>
        <rFont val="Calibri"/>
        <family val="2"/>
      </rPr>
      <t>Reducir las presiones directas sobre la diversidad biológica y promover la utilización sostenible.</t>
    </r>
  </si>
  <si>
    <r>
      <t>C.</t>
    </r>
    <r>
      <rPr>
        <sz val="7"/>
        <color rgb="FF000000"/>
        <rFont val="Times New Roman"/>
        <family val="1"/>
      </rPr>
      <t xml:space="preserve">    </t>
    </r>
    <r>
      <rPr>
        <sz val="9"/>
        <color rgb="FF000000"/>
        <rFont val="Calibri"/>
        <family val="2"/>
      </rPr>
      <t>Mejorar la situación de la diversidad biológica salvaguardando los ecosistemas, las especies y la diversidad genética.</t>
    </r>
  </si>
  <si>
    <r>
      <t>D.</t>
    </r>
    <r>
      <rPr>
        <sz val="7"/>
        <color rgb="FF000000"/>
        <rFont val="Times New Roman"/>
        <family val="1"/>
      </rPr>
      <t xml:space="preserve">    </t>
    </r>
    <r>
      <rPr>
        <sz val="9"/>
        <color rgb="FF000000"/>
        <rFont val="Calibri"/>
        <family val="2"/>
      </rPr>
      <t>Aumentar los beneficios de la diversidad biológica y los servicios de los ecosistemas para todos</t>
    </r>
  </si>
  <si>
    <t>La Resolución 192 de 2014 define Especie Amenazada, como aquella que ha sido declarada como tal por Tratados o Convenios Internacionales aprobados y ratificados por Colombia o haya sido declarada en alguna categoría de amenaza por el Ministerio de Ambiente y Desarrollo Sostenible.</t>
  </si>
  <si>
    <t>Especie en Peligro Crítico (CR): Aquellas que están enfrentando un riesgo de extinción extremadamente alto en estado de vida silvestre.</t>
  </si>
  <si>
    <t>Especie en Peligro (EN): Aquellas que están enfrentando un riesgo de extinción muy alto en estado de vida silvestre.</t>
  </si>
  <si>
    <t>Especie Vulnerable (VU): Aquellas que están enfrentando un riesgo de extinción alto en estado de vida silvestre.</t>
  </si>
  <si>
    <t>Adicionalmente, la Resolución 192 de 2014 establece que “el Ministerio de Ambiente y Desarrollo Sostenible en conjunto con las demás entidades del SINA, definirán las medidas de conservación y manejo de las especies amenazadas, sin perjuicio de las funciones y competencias asignadas a otras entidades públicas”</t>
  </si>
  <si>
    <t>Indicador Porcentaje de especies amenazadas con medidas de manejo en ejecución</t>
  </si>
  <si>
    <t xml:space="preserve"> x 100</t>
  </si>
  <si>
    <r>
      <t xml:space="preserve">PEAMME </t>
    </r>
    <r>
      <rPr>
        <vertAlign val="subscript"/>
        <sz val="9"/>
        <color rgb="FF000000"/>
        <rFont val="Calibri"/>
        <family val="2"/>
        <scheme val="minor"/>
      </rPr>
      <t>t</t>
    </r>
    <r>
      <rPr>
        <sz val="9"/>
        <color rgb="FF000000"/>
        <rFont val="Calibri"/>
        <family val="2"/>
        <scheme val="minor"/>
      </rPr>
      <t xml:space="preserve"> = Porcentaje de especies amenazadas con medidas de conservación y manejo en ejecución, en tiempo t.</t>
    </r>
  </si>
  <si>
    <r>
      <t xml:space="preserve">EAMME </t>
    </r>
    <r>
      <rPr>
        <vertAlign val="subscript"/>
        <sz val="9"/>
        <color rgb="FF000000"/>
        <rFont val="Calibri"/>
        <family val="2"/>
        <scheme val="minor"/>
      </rPr>
      <t>it</t>
    </r>
    <r>
      <rPr>
        <sz val="9"/>
        <color rgb="FF000000"/>
        <rFont val="Calibri"/>
        <family val="2"/>
        <scheme val="minor"/>
      </rPr>
      <t xml:space="preserve"> = Número de especies amenazadas </t>
    </r>
    <r>
      <rPr>
        <i/>
        <sz val="9"/>
        <color rgb="FF000000"/>
        <rFont val="Calibri"/>
        <family val="2"/>
        <scheme val="minor"/>
      </rPr>
      <t>i</t>
    </r>
    <r>
      <rPr>
        <sz val="9"/>
        <color rgb="FF000000"/>
        <rFont val="Calibri"/>
        <family val="2"/>
        <scheme val="minor"/>
      </rPr>
      <t xml:space="preserve"> con medidas de conservación y manejo en ejecución, en el tiempo t.</t>
    </r>
  </si>
  <si>
    <r>
      <t xml:space="preserve">EAMMF </t>
    </r>
    <r>
      <rPr>
        <vertAlign val="subscript"/>
        <sz val="9"/>
        <color rgb="FF000000"/>
        <rFont val="Calibri"/>
        <family val="2"/>
        <scheme val="minor"/>
      </rPr>
      <t>it</t>
    </r>
    <r>
      <rPr>
        <sz val="9"/>
        <color rgb="FF000000"/>
        <rFont val="Calibri"/>
        <family val="2"/>
        <scheme val="minor"/>
      </rPr>
      <t xml:space="preserve"> = Número de especies amenazadas </t>
    </r>
    <r>
      <rPr>
        <i/>
        <sz val="9"/>
        <color rgb="FF000000"/>
        <rFont val="Calibri"/>
        <family val="2"/>
        <scheme val="minor"/>
      </rPr>
      <t>i</t>
    </r>
    <r>
      <rPr>
        <sz val="9"/>
        <color rgb="FF000000"/>
        <rFont val="Calibri"/>
        <family val="2"/>
        <scheme val="minor"/>
      </rPr>
      <t xml:space="preserve"> con medidas de conservación y manejo formuladas, en el tiempo t.</t>
    </r>
  </si>
  <si>
    <t>Inversión asociada a la ejecución de las medidas de conservación y manejo de especies amenazadas</t>
  </si>
  <si>
    <r>
      <t xml:space="preserve">IMMEA </t>
    </r>
    <r>
      <rPr>
        <vertAlign val="subscript"/>
        <sz val="9"/>
        <color rgb="FF000000"/>
        <rFont val="Calibri"/>
        <family val="2"/>
        <scheme val="minor"/>
      </rPr>
      <t>t</t>
    </r>
    <r>
      <rPr>
        <sz val="9"/>
        <color rgb="FF000000"/>
        <rFont val="Calibri"/>
        <family val="2"/>
        <scheme val="minor"/>
      </rPr>
      <t xml:space="preserve"> = Inversión asociada a la ejecución de las medidas de conservación y manejo de especies amenazadas, en el año t.</t>
    </r>
  </si>
  <si>
    <r>
      <t xml:space="preserve">PDEA </t>
    </r>
    <r>
      <rPr>
        <vertAlign val="subscript"/>
        <sz val="9"/>
        <color rgb="FF000000"/>
        <rFont val="Calibri"/>
        <family val="2"/>
        <scheme val="minor"/>
      </rPr>
      <t>i</t>
    </r>
    <r>
      <rPr>
        <sz val="9"/>
        <color rgb="FF000000"/>
        <rFont val="Calibri"/>
        <family val="2"/>
        <scheme val="minor"/>
      </rPr>
      <t xml:space="preserve"> = Presupuesto definitivo asociado a la ejecución de medidas de conservación y manejo de la especie amenazada i, en el año t.</t>
    </r>
  </si>
  <si>
    <t>ESPECIES AMENAZADAS CONTINENTALES</t>
  </si>
  <si>
    <t>ESPECIES AMENAZADAS MARINAS</t>
  </si>
  <si>
    <t>FLORA</t>
  </si>
  <si>
    <t>FAUNA</t>
  </si>
  <si>
    <t>CR</t>
  </si>
  <si>
    <t>EN</t>
  </si>
  <si>
    <t>VU</t>
  </si>
  <si>
    <t>Número de especies amenazadas presentes en la jurisdicción</t>
  </si>
  <si>
    <t>Número de especies amenazadas con medidas de conservación y manejo formulado</t>
  </si>
  <si>
    <t>Número de especies amenazadas con medidas de conservación y manejo en ejecución</t>
  </si>
  <si>
    <t>(CR) Especie en peligro crítico</t>
  </si>
  <si>
    <t>(EN) Especie en peligro</t>
  </si>
  <si>
    <t>(VU) Especie vulnerable</t>
  </si>
  <si>
    <t>Inversión asociada a la ejecución de las medidas de conservación y manejo de especies amenazadas (Millones de $)</t>
  </si>
  <si>
    <t>Tipo (Continental o marina)</t>
  </si>
  <si>
    <t>Tipo (Flora o fauna)</t>
  </si>
  <si>
    <t>Nombre (común y/o científico)</t>
  </si>
  <si>
    <t>Cuanto más cercano a cien por ciento, mayores son las acciones que la autoridad ambiental realiza para la ejecución de las medidas de conservación y manejo de las especies amenazadas que cuentan con plan de manejo, dadas las prioridades regionales que se han definido en este campo.</t>
  </si>
  <si>
    <t>Ministerio de Ambiente y Desarrollo Sostenible - MADS</t>
  </si>
  <si>
    <r>
      <t>Hoja Metodológica de referencia:</t>
    </r>
    <r>
      <rPr>
        <sz val="9"/>
        <color rgb="FF000000"/>
        <rFont val="Calibri"/>
        <family val="2"/>
        <scheme val="minor"/>
      </rPr>
      <t xml:space="preserve"> MADS (2016). </t>
    </r>
    <r>
      <rPr>
        <i/>
        <sz val="9"/>
        <color rgb="FF000000"/>
        <rFont val="Calibri"/>
        <family val="2"/>
        <scheme val="minor"/>
      </rPr>
      <t>Hoja metodológica Porcentaje de especies amenazadas con medidas de manejo en ejecución (Versión 1.0).</t>
    </r>
    <r>
      <rPr>
        <sz val="9"/>
        <color rgb="FF000000"/>
        <rFont val="Calibri"/>
        <family val="2"/>
        <scheme val="minor"/>
      </rPr>
      <t xml:space="preserve"> Ministerio de Ambiente y Desarrollo Sostenible MADS, DGOAT-SINA, DBBSE y DAMCRA.</t>
    </r>
  </si>
  <si>
    <t>- La formulación de las medidas de conservación y manejo estaran a cargo del MADS y/o de las CARs.</t>
  </si>
  <si>
    <t>- Como limitación tambien se identifica la información disponible que sobre estas especies pueda tener cada CAR.</t>
  </si>
  <si>
    <t>Porcentaje de especies invasoras con medidas de prevención, control y manejo en ejecución</t>
  </si>
  <si>
    <t>Es la relación entre el número de especies invasoras con medidas de prevención, control y manejo en ejecución y el número de especies que cuentan con medidas de prevención, control y manejo formulado, tanto para fauna y flora como en el medio continental y marino.</t>
  </si>
  <si>
    <t>El indicador mide que la autoridad ambiental realice acciones dirigidas a la implementación de las medidas de prevención, control y manejo de especies invasoras. De esta manera, la Corporación contribuye a la ejecución a nivel regional de la Política Nacional de Gestión de la Biodiversidad y sus Servicios Ecosistémicos, así como al cumplimiento de las Metas Aichi.</t>
  </si>
  <si>
    <t>Resolución 848 de 2008, especies exóticas invasoras.</t>
  </si>
  <si>
    <t>Resolución 132 de 2010, pez león.</t>
  </si>
  <si>
    <t>Resolución 207 de 2010, pez león y caracol tigre.</t>
  </si>
  <si>
    <t>Resolución 654 de 2011, caracol gigante africano.</t>
  </si>
  <si>
    <t>Resolución 675 de 2013, adopta el Plan y Protocolo de manejo del pez león.</t>
  </si>
  <si>
    <t>Plan de Acción para la Prevención, Manejo y Control de las Especies Introducidas, Trasplantadas e Invasoras.</t>
  </si>
  <si>
    <t>Baptiste M.P., Castaño N., Cárdenas D., Gutiérrez F. P., Gil D.L. y Lasso C.A. (eds). 2010. Análisis de riesgo y propuesta de categorización de especies introducidas para Colombia. Instituto de Investigación de Recursos Biológicos Alexander von Humboldt. Bogotá, D. C., Colombia. 200 p.</t>
  </si>
  <si>
    <t>Las especies invasoras, son la segunda causa de pérdida de biodiversidad en el mundo, ya que afectan su funcionalidad y estructura además de traer consecuencias de alto impacto en el ámbito económico, la salud pública y la cultura (Baptiste et al., 2010).</t>
  </si>
  <si>
    <t>El Convenio sobre Diversidad Biológica, aprobado en Colombia a través de la Ley 165 de 1994, se refiere en el artículo 8° a las obligaciones de los países parte y en su literal h) establece: “impedirá que se introduzcan, controlará o erradicará las especies exóticas que amenacen a ecosistemas, hábitats o especies.</t>
  </si>
  <si>
    <t>Se entiende por especies exóticas de carácter invasor aquellas que han sido capaces de colonizar efectivamente un área en donde se ha interrumpido la barrera geográfica y se han propagado sin asistencia humana directa en hábitats naturales o seminaturales y cuyo establecimiento y expansión amenaza los ecosistemas, hábitats o especies con daños económicos o ambientales (Resolución 848 de 2008).</t>
  </si>
  <si>
    <t>El artículo 3° de la Resolución 848 de 2008 establece que las autoridades ambientales regionales deberán tomar medidas para la prevención, control y manejo de las especies introducidas exóticas, invasoras y trasplantadas presentes en el territorio nacional, que se estimen pertinentes, tales como el otorgamiento de permisos de caza de control y demás medidas de manejo que resulten aplicables conforme a las disposiciones legales vigentes.</t>
  </si>
  <si>
    <r>
      <t xml:space="preserve">PEIME </t>
    </r>
    <r>
      <rPr>
        <vertAlign val="subscript"/>
        <sz val="9"/>
        <color rgb="FF000000"/>
        <rFont val="Calibri"/>
        <family val="2"/>
        <scheme val="minor"/>
      </rPr>
      <t>t</t>
    </r>
    <r>
      <rPr>
        <sz val="9"/>
        <color rgb="FF000000"/>
        <rFont val="Calibri"/>
        <family val="2"/>
        <scheme val="minor"/>
      </rPr>
      <t xml:space="preserve"> = Porcentaje de especies invasoras con medidas de prevención, control y manejo en ejecución, en tiempo t.</t>
    </r>
  </si>
  <si>
    <r>
      <t xml:space="preserve">EIPMEE </t>
    </r>
    <r>
      <rPr>
        <vertAlign val="subscript"/>
        <sz val="9"/>
        <color rgb="FF000000"/>
        <rFont val="Calibri"/>
        <family val="2"/>
        <scheme val="minor"/>
      </rPr>
      <t>it</t>
    </r>
    <r>
      <rPr>
        <sz val="9"/>
        <color rgb="FF000000"/>
        <rFont val="Calibri"/>
        <family val="2"/>
        <scheme val="minor"/>
      </rPr>
      <t xml:space="preserve"> = Número de especies invasoras </t>
    </r>
    <r>
      <rPr>
        <i/>
        <sz val="9"/>
        <color rgb="FF000000"/>
        <rFont val="Calibri"/>
        <family val="2"/>
        <scheme val="minor"/>
      </rPr>
      <t>i</t>
    </r>
    <r>
      <rPr>
        <sz val="9"/>
        <color rgb="FF000000"/>
        <rFont val="Calibri"/>
        <family val="2"/>
        <scheme val="minor"/>
      </rPr>
      <t xml:space="preserve"> con medidas de prevención, control y manejo en ejecución, en tiempo t.</t>
    </r>
  </si>
  <si>
    <r>
      <t xml:space="preserve">EIPMEF </t>
    </r>
    <r>
      <rPr>
        <vertAlign val="subscript"/>
        <sz val="9"/>
        <color rgb="FF000000"/>
        <rFont val="Calibri"/>
        <family val="2"/>
        <scheme val="minor"/>
      </rPr>
      <t>it</t>
    </r>
    <r>
      <rPr>
        <sz val="9"/>
        <color rgb="FF000000"/>
        <rFont val="Calibri"/>
        <family val="2"/>
        <scheme val="minor"/>
      </rPr>
      <t xml:space="preserve"> = Número de especies invasoras </t>
    </r>
    <r>
      <rPr>
        <i/>
        <sz val="9"/>
        <color rgb="FF000000"/>
        <rFont val="Calibri"/>
        <family val="2"/>
        <scheme val="minor"/>
      </rPr>
      <t>i</t>
    </r>
    <r>
      <rPr>
        <sz val="9"/>
        <color rgb="FF000000"/>
        <rFont val="Calibri"/>
        <family val="2"/>
        <scheme val="minor"/>
      </rPr>
      <t xml:space="preserve"> con medidas de prevención, control y manejo formulado, en el tiempo t.</t>
    </r>
  </si>
  <si>
    <t>Inversión asociada a la ejecución de medidas de manejo de especies invasoras</t>
  </si>
  <si>
    <r>
      <t xml:space="preserve">IPMEI </t>
    </r>
    <r>
      <rPr>
        <vertAlign val="subscript"/>
        <sz val="9"/>
        <color rgb="FF000000"/>
        <rFont val="Calibri"/>
        <family val="2"/>
        <scheme val="minor"/>
      </rPr>
      <t>t</t>
    </r>
    <r>
      <rPr>
        <sz val="9"/>
        <color rgb="FF000000"/>
        <rFont val="Calibri"/>
        <family val="2"/>
        <scheme val="minor"/>
      </rPr>
      <t xml:space="preserve"> = Inversión asociada a la ejecución de las medidas de prevención, control y manejo de especies invasoras, en el año t.</t>
    </r>
  </si>
  <si>
    <r>
      <t xml:space="preserve">PDEI </t>
    </r>
    <r>
      <rPr>
        <vertAlign val="subscript"/>
        <sz val="9"/>
        <color rgb="FF000000"/>
        <rFont val="Calibri"/>
        <family val="2"/>
        <scheme val="minor"/>
      </rPr>
      <t>i</t>
    </r>
    <r>
      <rPr>
        <sz val="9"/>
        <color rgb="FF000000"/>
        <rFont val="Calibri"/>
        <family val="2"/>
        <scheme val="minor"/>
      </rPr>
      <t xml:space="preserve"> = Presupuesto definitivo asociado a la ejecución de las medidas de prevención, control y manejo de la especie invasora i, en el año t.</t>
    </r>
  </si>
  <si>
    <t>CONTINENTAL</t>
  </si>
  <si>
    <t>MARINA</t>
  </si>
  <si>
    <t>SUBTOTAL</t>
  </si>
  <si>
    <t>Número de especies invasoras en la jurisdicción</t>
  </si>
  <si>
    <t>Número de especies invasoras con medidas de prevención, control y manejo formulado</t>
  </si>
  <si>
    <t>Número de especies invasoras con medidas de prevención, control y manejo en ejecución</t>
  </si>
  <si>
    <t>Inversión asociada a la ejecución de las medidas de prevención, control y manejo de especies invasoras (Millones de $)</t>
  </si>
  <si>
    <t>Cuanto más cercano a cien por ciento, mayores son las acciones que la autoridad ambiental realiza para la ejecución de las medidas de prevención, control y manejo de las especies invasoras que cuentan con medidas de prevención, control y manejo, dadas las prioridades regionales que se han definido en este campo.</t>
  </si>
  <si>
    <t>Se pueden presentar situaciones de orden operativo, financiero, político y social que pueden afectar los presupuestos y los cronogramas definidos en el Plan de Acción de la Corporación. Así mismo, pueden existir limitaciones de información sobre las especies invasoras presentes en la Corporación.</t>
  </si>
  <si>
    <r>
      <t>Hoja Metodológica de referencia:</t>
    </r>
    <r>
      <rPr>
        <sz val="9"/>
        <color rgb="FF000000"/>
        <rFont val="Calibri"/>
        <family val="2"/>
        <scheme val="minor"/>
      </rPr>
      <t xml:space="preserve"> MADS (2016). </t>
    </r>
    <r>
      <rPr>
        <i/>
        <sz val="9"/>
        <color rgb="FF000000"/>
        <rFont val="Calibri"/>
        <family val="2"/>
        <scheme val="minor"/>
      </rPr>
      <t>Hoja metodológica Porcentaje de especies invasoras con medidas de manejo en ejecución (Versión 1.0).</t>
    </r>
    <r>
      <rPr>
        <sz val="9"/>
        <color rgb="FF000000"/>
        <rFont val="Calibri"/>
        <family val="2"/>
        <scheme val="minor"/>
      </rPr>
      <t xml:space="preserve"> Ministerio de Ambiente y Desarrollo Sostenible MADS, DGOAT-SINA, DBBSE y DAMCRA.</t>
    </r>
  </si>
  <si>
    <t>La formulación de las medidas de prevención, control y manejo estarán a cargo del MADS y/o las CARs.</t>
  </si>
  <si>
    <t>Porcentaje de áreas de ecosistemas en restauración, rehabilitación y reforestación</t>
  </si>
  <si>
    <t>Mide la superficie de ecosistemas en restauración, rehabilitación y reforestación, con respecto a la meta de áreas en restauración, rehabilitación y recuperación priorizadas por la Corporación.</t>
  </si>
  <si>
    <t>El indicador busca hacer seguimiento a la contribución de las CAR a la Política Nacional de Gestión Integral de la Biodiversidad y sus Servicios Ecosistémicos y específicamente las acciones relacionadas con la restauración, recuperación y rehabilitación de ecosistemas.</t>
  </si>
  <si>
    <t>Contribución a la Meta del plan de desarrollo (Hectáreas en Proceso de Restauración)</t>
  </si>
  <si>
    <t>Plan Nacional de Restauración</t>
  </si>
  <si>
    <t>El Plan Nacional de Restauración concibe la restauración, en su visión amplia, como el restablecimiento parcial o totalmente la composición, estructura y función de la biodiversidad, que hayan sido alterados o degradados.</t>
  </si>
  <si>
    <t>La restauración ecológica, por su parte, es el proceso de ayudar al restablecimiento de un ecosistema que se ha degradado, dañado o destruido. Es una actividad deliberada que inicia o acelera la recuperación de un ecosistema con respecto a su salud, integridad y sostenibilidad y busca iniciar o facilitar la reanudación de estos procesos, los cuales retornarán el ecosistema a la trayectoria deseada.</t>
  </si>
  <si>
    <t>La rehabilitación de ecosistemas enfatiza la reparación de los procesos, la productividad y los servicios de un ecosistema. Comparte con la restauración un enfoque fundamental en los ecosistemas históricos o preexistentes como modelos o referencias, pero las dos actividades difieren en sus metas y estrategias.</t>
  </si>
  <si>
    <t>La recuperación de ecosistemas incluye la estabilización del terreno, el aseguramiento de la seguridad pública, el mejoramiento estético y, por lo general, el retorno de las tierras a lo que se consideraría un propósito útil dentro del contexto regional.</t>
  </si>
  <si>
    <t>Se debe tener en cuenta que la restauración es un proceso a largo plazo por lo que sólo el establecimiento (revegetación) no significa que el ecosistema haya sido restaurado, si no que corresponde a una fase en el proceso, por lo tanto, las hectáreas establecidas se encuentran en “Proceso de restauración”.</t>
  </si>
  <si>
    <t>Se considera que el proyecto de restauración, en este caso el área, se encuentra en proceso de restauración cuando se han realizado las etapas de un proyecto de restauración.</t>
  </si>
  <si>
    <t>Las mencionadas etapas de un proyecto de restauración, identificadas en el Plan Nacional de Restauración, son: a. planeación del proyecto de restauración; b. ejecución; c. mantenimiento; d. monitoreo; y e. divulgación de modelos regionales.</t>
  </si>
  <si>
    <r>
      <t xml:space="preserve">PAERRR </t>
    </r>
    <r>
      <rPr>
        <vertAlign val="subscript"/>
        <sz val="9"/>
        <color rgb="FF000000"/>
        <rFont val="Calibri"/>
        <family val="2"/>
        <scheme val="minor"/>
      </rPr>
      <t>t</t>
    </r>
    <r>
      <rPr>
        <sz val="9"/>
        <color rgb="FF000000"/>
        <rFont val="Calibri"/>
        <family val="2"/>
        <scheme val="minor"/>
      </rPr>
      <t xml:space="preserve"> = Porcentaje de áreas de ecosistemas en restauración, rehabilitación y recuperación, en el tiempo t.</t>
    </r>
  </si>
  <si>
    <r>
      <t xml:space="preserve">AERRR </t>
    </r>
    <r>
      <rPr>
        <vertAlign val="subscript"/>
        <sz val="9"/>
        <color rgb="FF000000"/>
        <rFont val="Calibri"/>
        <family val="2"/>
        <scheme val="minor"/>
      </rPr>
      <t>it</t>
    </r>
    <r>
      <rPr>
        <sz val="9"/>
        <color rgb="FF000000"/>
        <rFont val="Calibri"/>
        <family val="2"/>
        <scheme val="minor"/>
      </rPr>
      <t xml:space="preserve"> = Superficie de áreas en restauración, rehabilitación y recuperación (ha), en el tiempo t.</t>
    </r>
  </si>
  <si>
    <r>
      <t xml:space="preserve">MAERRR </t>
    </r>
    <r>
      <rPr>
        <vertAlign val="subscript"/>
        <sz val="9"/>
        <color rgb="FF000000"/>
        <rFont val="Calibri"/>
        <family val="2"/>
        <scheme val="minor"/>
      </rPr>
      <t>it</t>
    </r>
    <r>
      <rPr>
        <sz val="9"/>
        <color rgb="FF000000"/>
        <rFont val="Calibri"/>
        <family val="2"/>
        <scheme val="minor"/>
      </rPr>
      <t xml:space="preserve"> = Meta de áreas en restauración, rehabilitación y recuperación (ha), en el tiempo t.</t>
    </r>
  </si>
  <si>
    <t>Inversión asociada a restauración, rehabilitación y recuperación de los ecosistemas naturales</t>
  </si>
  <si>
    <t>(Millones de $)</t>
  </si>
  <si>
    <r>
      <t xml:space="preserve">IRRR </t>
    </r>
    <r>
      <rPr>
        <vertAlign val="subscript"/>
        <sz val="9"/>
        <color rgb="FF000000"/>
        <rFont val="Calibri"/>
        <family val="2"/>
        <scheme val="minor"/>
      </rPr>
      <t>t</t>
    </r>
    <r>
      <rPr>
        <sz val="9"/>
        <color rgb="FF000000"/>
        <rFont val="Calibri"/>
        <family val="2"/>
        <scheme val="minor"/>
      </rPr>
      <t xml:space="preserve"> = Inversión asociada a restauración, rehabilitación y recuperación de los ecosistemas naturales, en el año t.</t>
    </r>
  </si>
  <si>
    <r>
      <t xml:space="preserve">PDIRRR </t>
    </r>
    <r>
      <rPr>
        <vertAlign val="subscript"/>
        <sz val="9"/>
        <color rgb="FF000000"/>
        <rFont val="Calibri"/>
        <family val="2"/>
        <scheme val="minor"/>
      </rPr>
      <t>i</t>
    </r>
    <r>
      <rPr>
        <sz val="9"/>
        <color rgb="FF000000"/>
        <rFont val="Calibri"/>
        <family val="2"/>
        <scheme val="minor"/>
      </rPr>
      <t xml:space="preserve"> = Presupuesto definitivo asociado a la ejecución de la acción o proyecto i relacionado con la restauración, rehabilitación y recuperación de los ecosistemas naturales, en el año t.</t>
    </r>
  </si>
  <si>
    <t>Meta de áreas de ecosistemas en restauración, rehabilitación y recuperación (ha)</t>
  </si>
  <si>
    <t>Áreas de ecosistemas en restauración ecológica</t>
  </si>
  <si>
    <t>Áreas de ecosistemas en rehabilitación</t>
  </si>
  <si>
    <t>Áreas de ecosistemas en recuperación</t>
  </si>
  <si>
    <t>Inversión asociada a restauración, rehabilitación y recuperación de los ecosistemas (Millones de $)</t>
  </si>
  <si>
    <t>Tipo de acción (restauración, rehabilitación o recuperación)</t>
  </si>
  <si>
    <t>Área en restauración, rehabilitación o recuperación (ha)</t>
  </si>
  <si>
    <t>Cuanto más cercano a cien por ciento, mayor es el cumplimiento de las metas establecidas por la Corporación en materia de restauración, rehabilitación y reforestación.</t>
  </si>
  <si>
    <r>
      <t>Hoja Metodológica de referencia:</t>
    </r>
    <r>
      <rPr>
        <sz val="9"/>
        <color rgb="FF000000"/>
        <rFont val="Calibri"/>
        <family val="2"/>
        <scheme val="minor"/>
      </rPr>
      <t xml:space="preserve"> MADS (2016). </t>
    </r>
    <r>
      <rPr>
        <i/>
        <sz val="9"/>
        <color rgb="FF000000"/>
        <rFont val="Calibri"/>
        <family val="2"/>
        <scheme val="minor"/>
      </rPr>
      <t>Hoja metodológica Porcentaje de áreas de ecosistemas en restauración, rehabilitación y reforestación (Versión 1.0).</t>
    </r>
    <r>
      <rPr>
        <sz val="9"/>
        <color rgb="FF000000"/>
        <rFont val="Calibri"/>
        <family val="2"/>
        <scheme val="minor"/>
      </rPr>
      <t xml:space="preserve"> Ministerio de Ambiente y Desarrollo Sostenible MADS, DGOAT-SINA, DBBSE y DAMCRA.</t>
    </r>
  </si>
  <si>
    <t>Implementación de acciones en manejo integrado de zonas costeras</t>
  </si>
  <si>
    <t>Es el porcentaje de avance en la ejecución, por parte de la corporación autónoma regional, de las acciones relacionadas con el manejo integrado de zonas costeras en el marco del Plan de Acción.</t>
  </si>
  <si>
    <t>El indicador mide el cumplimiento de las metas que la autoridad ambiental se ha propuesto alcanzar en relación con el manejo integrado de zonas costeras, en el marco del Plan de Acción de la Corporación. De esta manera, contribuye a la implementación regional de la Política nacional ambiental para el desarrollo sostenible de los espacios oceánicos y las zonas costeras e insulares de Colombia.</t>
  </si>
  <si>
    <t>Ley 99 de 1993, Ley Marco de Medio Ambiente.</t>
  </si>
  <si>
    <t>Ley 1450 de 2011 (artículos 207 y 208) (vigentes).</t>
  </si>
  <si>
    <t>Decreto 1076 de 2015, Decreto Único Reglamentario.</t>
  </si>
  <si>
    <t>Resolución 1602 de 1995, manglares</t>
  </si>
  <si>
    <t>Resolución 20 de 1996, manglares</t>
  </si>
  <si>
    <t>Resolución 924 de 1997, manglares</t>
  </si>
  <si>
    <t>Política nacional ambiental para el desarrollo sostenible de los espacios oceánicos y las zonas costeras e insulares de Colombia – PNAOCI 2000</t>
  </si>
  <si>
    <t>La Política Nacional Ambiental para el Desarrollo Sostenible de los Espacios Oceánicos y las Zonas Costeras e Insulares de Colombia- PNAOCI-, , señala que el manejo integrado costero es un proceso de planificación especial dirigido hacia un área compleja y dinámica, que se enfoca en la interfase mar – tierra y que considera los siguientes aspectos: algunos conceptos fijos y otros flexibles que la demarcan, una ética de conservación de los ecosistemas, metas socioeconómicas, un estilo de manejo activo participativo y de solución de problemas, y una fuerte base científica.</t>
  </si>
  <si>
    <t>La mencionada política promueve el ordenamiento territorial para asignar usos sostenibles al territorio marítimo y costero nacional, la formas mejoradas de gobierno que armonicen y articulen la planificación del desarrollo costero sectorial, la conservación y restauración de los bienes y servicios que proveen sus ecosistemas, la generación de conocimiento que permita la obtención de información estratégica para la toma de decisiones de manejo integrado de esta áreas, y los procesos de autogestión comunitaria y de aprendizaje que permitan integrar a los múltiples usuarios de la zona costera en la gestión de su manejo sostenible.</t>
  </si>
  <si>
    <t>Las principales temáticas en el Manejo Integrado de Zonas Costeras en las que tienen competencia las Corporaciones Autónomas Regionales son:</t>
  </si>
  <si>
    <r>
      <t>1)</t>
    </r>
    <r>
      <rPr>
        <sz val="7"/>
        <color rgb="FF000000"/>
        <rFont val="Times New Roman"/>
        <family val="1"/>
      </rPr>
      <t xml:space="preserve">      </t>
    </r>
    <r>
      <rPr>
        <sz val="9"/>
        <color rgb="FF000000"/>
        <rFont val="Calibri"/>
        <family val="2"/>
        <scheme val="minor"/>
      </rPr>
      <t>Planificación y ordenamiento de la Unidad Ambiental Costera UAC</t>
    </r>
  </si>
  <si>
    <r>
      <t>a)</t>
    </r>
    <r>
      <rPr>
        <sz val="7"/>
        <color rgb="FF000000"/>
        <rFont val="Times New Roman"/>
        <family val="1"/>
      </rPr>
      <t xml:space="preserve">      </t>
    </r>
    <r>
      <rPr>
        <sz val="9"/>
        <color rgb="FF000000"/>
        <rFont val="Calibri"/>
        <family val="2"/>
        <scheme val="minor"/>
      </rPr>
      <t>Participación en la Formulación del POMIUAC en el marco de la Unidad Ambiental Costera correspondiente a su jurisdicción y en el Diagnóstico y Zonificación de los Manglares.</t>
    </r>
  </si>
  <si>
    <r>
      <t>2)</t>
    </r>
    <r>
      <rPr>
        <sz val="7"/>
        <color rgb="FF000000"/>
        <rFont val="Times New Roman"/>
        <family val="1"/>
      </rPr>
      <t xml:space="preserve">      </t>
    </r>
    <r>
      <rPr>
        <sz val="9"/>
        <color rgb="FF000000"/>
        <rFont val="Calibri"/>
        <family val="2"/>
        <scheme val="minor"/>
      </rPr>
      <t>Gestión ambiental en las zonas costeras de su jurisdicción</t>
    </r>
  </si>
  <si>
    <r>
      <t>a)</t>
    </r>
    <r>
      <rPr>
        <sz val="7"/>
        <color rgb="FF000000"/>
        <rFont val="Times New Roman"/>
        <family val="1"/>
      </rPr>
      <t xml:space="preserve">      </t>
    </r>
    <r>
      <rPr>
        <sz val="9"/>
        <color rgb="FF000000"/>
        <rFont val="Calibri"/>
        <family val="2"/>
        <scheme val="minor"/>
      </rPr>
      <t>Manejo de ecosistemas marinos y costeros.</t>
    </r>
  </si>
  <si>
    <r>
      <t>3)</t>
    </r>
    <r>
      <rPr>
        <sz val="7"/>
        <color rgb="FF000000"/>
        <rFont val="Times New Roman"/>
        <family val="1"/>
      </rPr>
      <t xml:space="preserve">      </t>
    </r>
    <r>
      <rPr>
        <sz val="9"/>
        <color rgb="FF000000"/>
        <rFont val="Calibri"/>
        <family val="2"/>
        <scheme val="minor"/>
      </rPr>
      <t>Articulación junto con los entes territoriales en el manejo integrado de zonas costeras.</t>
    </r>
  </si>
  <si>
    <r>
      <t>4)</t>
    </r>
    <r>
      <rPr>
        <sz val="7"/>
        <color rgb="FF000000"/>
        <rFont val="Times New Roman"/>
        <family val="1"/>
      </rPr>
      <t xml:space="preserve">      </t>
    </r>
    <r>
      <rPr>
        <sz val="9"/>
        <color rgb="FF000000"/>
        <rFont val="Calibri"/>
        <family val="2"/>
        <scheme val="minor"/>
      </rPr>
      <t>Educación y participación en manejo integrado de zonas costeras.</t>
    </r>
  </si>
  <si>
    <r>
      <t>5)</t>
    </r>
    <r>
      <rPr>
        <sz val="7"/>
        <color rgb="FF000000"/>
        <rFont val="Times New Roman"/>
        <family val="1"/>
      </rPr>
      <t xml:space="preserve">      </t>
    </r>
    <r>
      <rPr>
        <sz val="9"/>
        <color rgb="FF000000"/>
        <rFont val="Calibri"/>
        <family val="2"/>
        <scheme val="minor"/>
      </rPr>
      <t>Gestión de Información en manejo integrado de zonas costeras</t>
    </r>
  </si>
  <si>
    <r>
      <t>a)</t>
    </r>
    <r>
      <rPr>
        <sz val="7"/>
        <color rgb="FF000000"/>
        <rFont val="Times New Roman"/>
        <family val="1"/>
      </rPr>
      <t xml:space="preserve">      </t>
    </r>
    <r>
      <rPr>
        <sz val="9"/>
        <color rgb="FF000000"/>
        <rFont val="Calibri"/>
        <family val="2"/>
        <scheme val="minor"/>
      </rPr>
      <t>Monitoreo de la calidad ambiental en las zonas marinas y costeras</t>
    </r>
  </si>
  <si>
    <r>
      <t>b)</t>
    </r>
    <r>
      <rPr>
        <sz val="7"/>
        <color rgb="FF000000"/>
        <rFont val="Times New Roman"/>
        <family val="1"/>
      </rPr>
      <t xml:space="preserve">      </t>
    </r>
    <r>
      <rPr>
        <sz val="9"/>
        <color rgb="FF000000"/>
        <rFont val="Calibri"/>
        <family val="2"/>
        <scheme val="minor"/>
      </rPr>
      <t>Fortalecimiento de los sistemas de información regional ambiental en el ámbito marino-costero</t>
    </r>
  </si>
  <si>
    <r>
      <t>c)</t>
    </r>
    <r>
      <rPr>
        <sz val="7"/>
        <color rgb="FF000000"/>
        <rFont val="Times New Roman"/>
        <family val="1"/>
      </rPr>
      <t xml:space="preserve">       </t>
    </r>
    <r>
      <rPr>
        <sz val="9"/>
        <color rgb="FF000000"/>
        <rFont val="Calibri"/>
        <family val="2"/>
        <scheme val="minor"/>
      </rPr>
      <t>Monitoreo de ecosistemas y recursos acuáticos marinos y costeros</t>
    </r>
  </si>
  <si>
    <t>Cabe señalar que las acciones a ser realizadas por las Corporaciones deben corresponder a las competencias otorgadas por la normatividad y en el marco de sus funciones misionales.</t>
  </si>
  <si>
    <t>Porcentaje de ejecución de acciones relacionadas con el manejo integrado de zonas costeras</t>
  </si>
  <si>
    <t>Es el promedio ponderado de la ejecución de acciones relacionadas con el manejo integrado de las zonas costeras.</t>
  </si>
  <si>
    <r>
      <t xml:space="preserve">ETAMIZC </t>
    </r>
    <r>
      <rPr>
        <vertAlign val="subscript"/>
        <sz val="9"/>
        <color rgb="FF000000"/>
        <rFont val="Calibri"/>
        <family val="2"/>
        <scheme val="minor"/>
      </rPr>
      <t>t</t>
    </r>
    <r>
      <rPr>
        <sz val="9"/>
        <color rgb="FF000000"/>
        <rFont val="Calibri"/>
        <family val="2"/>
        <scheme val="minor"/>
      </rPr>
      <t xml:space="preserve"> = Porcentaje de ejecución total de acciones en manejo integrado de zonas costeras, en el tiempo t.</t>
    </r>
  </si>
  <si>
    <r>
      <t xml:space="preserve">EAMIZC </t>
    </r>
    <r>
      <rPr>
        <vertAlign val="subscript"/>
        <sz val="9"/>
        <color rgb="FF000000"/>
        <rFont val="Calibri"/>
        <family val="2"/>
        <scheme val="minor"/>
      </rPr>
      <t>It</t>
    </r>
    <r>
      <rPr>
        <sz val="9"/>
        <color rgb="FF000000"/>
        <rFont val="Calibri"/>
        <family val="2"/>
        <scheme val="minor"/>
      </rPr>
      <t xml:space="preserve"> = Porcentaje de ejecución de la acción </t>
    </r>
    <r>
      <rPr>
        <i/>
        <sz val="9"/>
        <color rgb="FF000000"/>
        <rFont val="Calibri"/>
        <family val="2"/>
        <scheme val="minor"/>
      </rPr>
      <t>i</t>
    </r>
    <r>
      <rPr>
        <sz val="9"/>
        <color rgb="FF000000"/>
        <rFont val="Calibri"/>
        <family val="2"/>
        <scheme val="minor"/>
      </rPr>
      <t xml:space="preserve"> relacionada con el manejo integrado de zonas costeras, en el tiempo t.</t>
    </r>
  </si>
  <si>
    <r>
      <t xml:space="preserve"> a </t>
    </r>
    <r>
      <rPr>
        <vertAlign val="subscript"/>
        <sz val="9"/>
        <color rgb="FF000000"/>
        <rFont val="Calibri"/>
        <family val="2"/>
        <scheme val="minor"/>
      </rPr>
      <t>i</t>
    </r>
    <r>
      <rPr>
        <sz val="9"/>
        <color rgb="FF000000"/>
        <rFont val="Calibri"/>
        <family val="2"/>
        <scheme val="minor"/>
      </rPr>
      <t xml:space="preserve"> = ponderador de la acción i de manejo integrado de zonas costeras</t>
    </r>
  </si>
  <si>
    <r>
      <t xml:space="preserve">Σ a </t>
    </r>
    <r>
      <rPr>
        <vertAlign val="subscript"/>
        <sz val="9"/>
        <color rgb="FF000000"/>
        <rFont val="Calibri"/>
        <family val="2"/>
        <scheme val="minor"/>
      </rPr>
      <t>i</t>
    </r>
    <r>
      <rPr>
        <sz val="9"/>
        <color rgb="FF000000"/>
        <rFont val="Calibri"/>
        <family val="2"/>
        <scheme val="minor"/>
      </rPr>
      <t xml:space="preserve"> = 1.</t>
    </r>
  </si>
  <si>
    <r>
      <t>Nota:</t>
    </r>
    <r>
      <rPr>
        <sz val="9"/>
        <color rgb="FF000000"/>
        <rFont val="Calibri"/>
        <family val="2"/>
        <scheme val="minor"/>
      </rPr>
      <t xml:space="preserve"> los ponderadores de las acciones serán definidos por las CAR teniendo en cuenta el peso asignado para cada una de ellas.</t>
    </r>
  </si>
  <si>
    <t>Porcentaje de ejecución de acciones relacionadas con el manejo integrado de zonas costeras.</t>
  </si>
  <si>
    <t>Número de acciones relacionadas con el manejo integrado de zonas Costeras</t>
  </si>
  <si>
    <t>Ejecución física de las acciones relacionadas con el manejo integrado de zonas costeras</t>
  </si>
  <si>
    <t>Temática</t>
  </si>
  <si>
    <t>Ejecución Física (%)</t>
  </si>
  <si>
    <t>% Ejecución Física Cuatrienal</t>
  </si>
  <si>
    <t>% Ejecución Física Anual</t>
  </si>
  <si>
    <t>Ponderación (100%)</t>
  </si>
  <si>
    <t>Ejecución ponderada (%)</t>
  </si>
  <si>
    <t>Gestión de Información en MIZC</t>
  </si>
  <si>
    <t>(*) Nombre de la acción, actividad o proyecto en el Plan de Acción de la Corporación.</t>
  </si>
  <si>
    <t>Cuanto más cercano a cien por ciento, mayor es el cumplimiento de las metas que la autoridad ambiental se ha propuesto alcanzar en relación con el manejo integrado de zonas costeras, en el marco del Plan de Acción de la Corporación.</t>
  </si>
  <si>
    <t>Se pueden presentar situaciones de orden operativo, financiero, político y social que pueden afectar los presupuestos y los cronogramas definidos en el Plan de Acción de la Corporación. Así mismo, pueden existir limitaciones sobre la disponibilidad de información.</t>
  </si>
  <si>
    <r>
      <t xml:space="preserve">Hoja Metodológica de referencia: MADS (2016). </t>
    </r>
    <r>
      <rPr>
        <i/>
        <sz val="9"/>
        <color rgb="FF000000"/>
        <rFont val="Calibri"/>
        <family val="2"/>
        <scheme val="minor"/>
      </rPr>
      <t>Hoja metodológica Ejecución de acciones en Manejo Integrado de Zonas Costeras (Versión 1.0).</t>
    </r>
    <r>
      <rPr>
        <sz val="9"/>
        <color rgb="FF000000"/>
        <rFont val="Calibri"/>
        <family val="2"/>
        <scheme val="minor"/>
      </rPr>
      <t xml:space="preserve"> Ministerio de Ambiente y Desarrollo Sostenible MADS, DGOAT-SINA y DAMCRA.</t>
    </r>
  </si>
  <si>
    <t>Porcentaje de Planes de Gestión Integral de Residuos Sólidos (PGIRS) con seguimiento a metas de aprovechamiento</t>
  </si>
  <si>
    <t>Es la relación entre el número de Planes de Gestión Integral de Residuos Sólidos (PGIRS) con seguimiento con respecto a la meta de seguimiento de dichos planes por parte de la autoridad ambiental, exclusivamente en lo relacionado con las metas de aprovechamiento.</t>
  </si>
  <si>
    <t>El indicador mide el cumplimiento de las metas que la autoridad ambiental se ha propuesto alcanzar en relación con el seguimiento a los Planes de Gestión Integral de Residuos Sólidos (PGIRS), exclusivamente en lo relacionado con las metas de aprovechamiento.</t>
  </si>
  <si>
    <t>Decreto 1076 de 2015, Decreto Único Reglamentario Sector Ambiente, Articulo 2.2.6.1.1.1 al 2.2.7.3.1.7.</t>
  </si>
  <si>
    <t>Decreto 1077 de 2015. Artículo 2.3.2.2.3.90. Programa de aprovechamiento.</t>
  </si>
  <si>
    <t>Resolución 754 de 2014</t>
  </si>
  <si>
    <t>Metodología para la formulación, implementación, evaluación, seguimiento, control y actualización de los Planes de Gestión Integral de Residuos Sólidos (PGIRS)</t>
  </si>
  <si>
    <t>El Decreto 1077 de 2015 define el Plan de Gestión Integral de Residuos Sólidos como el “instrumento de planeación municipal o regional que contiene un conjunto ordenado de objetivos, metas, programas, proyectos, actividades y recursos definidos por uno o más entes territoriales para el manejo de los residuos sólidos, basado en la política de gestión integral de los mismos, el cual se ejecutará durante un período determinado, basándose en un diagnóstico inicial, en su proyección hacia el futuro y en un plan financiero viable que permita garantizar el mejoramiento continuo del manejo de residuos y la prestación del servicio de aseo a nivel municipal o regional, evaluado a través de la medición de resultados. Corresponde a la entidad territorial la formulación, implementación, evaluación, seguimiento y control y actualización del PGIRS”.</t>
  </si>
  <si>
    <t>El parágrafo del artículo 2.3.2.2.3.90 del mencionado decreto determina que “a las autoridades ambientales competentes, les corresponde realizar el control y seguimiento de la ejecución del PGIRS, exclusivamente en lo relacionado con las metas de aprovechamiento y las autorizaciones ambientales que requiera el prestador del servicio de aseo, de conformidad con la normatividad ambiental vigente”.</t>
  </si>
  <si>
    <t>Por su parte, la Resolución 754 de 2014 adopta la metodología para la formulación, implementación, evaluación, seguimiento, control y actualización de los Planes de Gestión Integral de Residuos Sólidos (PGIRS).</t>
  </si>
  <si>
    <r>
      <t xml:space="preserve">PPGIRSCS </t>
    </r>
    <r>
      <rPr>
        <vertAlign val="subscript"/>
        <sz val="9"/>
        <color rgb="FF000000"/>
        <rFont val="Calibri"/>
        <family val="2"/>
        <scheme val="minor"/>
      </rPr>
      <t>t</t>
    </r>
    <r>
      <rPr>
        <sz val="9"/>
        <color rgb="FF000000"/>
        <rFont val="Calibri"/>
        <family val="2"/>
        <scheme val="minor"/>
      </rPr>
      <t xml:space="preserve"> = Porcentaje de Planes de Gestión Integral de Residuos Sólidos (PGIRS) con seguimiento, exclusivamente en lo relacionado con las metas de aprovechamiento en el tiempo t.</t>
    </r>
  </si>
  <si>
    <r>
      <t xml:space="preserve">PGIRSCS </t>
    </r>
    <r>
      <rPr>
        <vertAlign val="subscript"/>
        <sz val="9"/>
        <color rgb="FF000000"/>
        <rFont val="Calibri"/>
        <family val="2"/>
        <scheme val="minor"/>
      </rPr>
      <t>t</t>
    </r>
    <r>
      <rPr>
        <sz val="9"/>
        <color rgb="FF000000"/>
        <rFont val="Calibri"/>
        <family val="2"/>
        <scheme val="minor"/>
      </rPr>
      <t xml:space="preserve"> = Número de Planes de Gestión Integral de Residuos Sólidos con seguimiento a las metas de aprovechamiento, en el tiempo t.</t>
    </r>
  </si>
  <si>
    <r>
      <t xml:space="preserve">MPGIRSCS </t>
    </r>
    <r>
      <rPr>
        <vertAlign val="subscript"/>
        <sz val="9"/>
        <color rgb="FF000000"/>
        <rFont val="Calibri"/>
        <family val="2"/>
        <scheme val="minor"/>
      </rPr>
      <t>t</t>
    </r>
    <r>
      <rPr>
        <sz val="9"/>
        <color rgb="FF000000"/>
        <rFont val="Calibri"/>
        <family val="2"/>
        <scheme val="minor"/>
      </rPr>
      <t xml:space="preserve"> = Meta de Planes de Gestión Integral de Residuos Sólidos con seguimiento a las metas de aprovechamiento, en el tiempo t.</t>
    </r>
  </si>
  <si>
    <t>La meta de número de Planes de Gestión Integral de Residuos Sólidos sujetos a seguimiento es establecida en el Plan de Acción de la Corporación. (Exclusivamente en lo relacionado con las metas de aprovechamiento)</t>
  </si>
  <si>
    <t>Número total de Planes de Gestión Integral de Residuos Sólidos (PGIRS) de la jurisdicción de la Corporación:</t>
  </si>
  <si>
    <t>Meta de Planes de Gestión Integral de Residuos Sólidos (PGIRS) con seguimiento a las metas de aprovechamiento MPGIRSCS</t>
  </si>
  <si>
    <t>Número de Planes de Gestión Integral de Residuos Sólidos con seguimiento a las metas de aprovechamiento (PPGIRSCS)</t>
  </si>
  <si>
    <t>Porcentaje de Planes de Gestión Integral de Residuos Sólidos con seguimiento exclusivamente en lo relacionado con las metas de aprovechamiento (PPGIRSCS)</t>
  </si>
  <si>
    <t>Cuanto más cercano a cien por ciento, mayor es el cumplimiento de las metas que la autoridad ambiental se ha propuesto alcanzar en relación con el seguimiento a los Planes de Gestión Integral de Residuos Sólidos (PGIRS)</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</si>
  <si>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Planes de Gestión Integral de Residuos Sólidos (PGIRS) con seguimiento (Versión 1.0).</t>
    </r>
    <r>
      <rPr>
        <sz val="9"/>
        <color rgb="FF000000"/>
        <rFont val="Calibri"/>
        <family val="2"/>
        <scheme val="minor"/>
      </rPr>
      <t xml:space="preserve"> Ministerio de Ambiente y Desarrollo Sostenible, DGOAT-SINA y DAASU.</t>
    </r>
  </si>
  <si>
    <t>Porcentaje de sectores con acompañamiento para la reconversión hacia sistemas sostenibles de producción</t>
  </si>
  <si>
    <t>Es la relación entre el número de sectores acompañados por la Corporación Autónoma Regional en la reconversión hacia sistemas sostenibles de producción, y la meta de sectores priorizados por la autoridad ambiental para dicho acompañamiento.</t>
  </si>
  <si>
    <t>El indicador mide el cumplimiento de las metas establecidas en relación con los sectores priorizados por la Corporación para hacerles acompañamiento en la reconversión hacia sistemas sostenibles de producción. De esta manera, contribuye a la implementación de la Política de Producción y Consumo Sostenible y de la Estrategia de Crecimiento Verde del Plan Nacional de Desarrollo 2014-2018.</t>
  </si>
  <si>
    <t>Decreto 1076 de 2016.</t>
  </si>
  <si>
    <t>Ley 1753 de 2015, Plan Nacional de Desarrollo.</t>
  </si>
  <si>
    <t>Política de Producción y Consumo Sostenible (PPyCS)</t>
  </si>
  <si>
    <t>Plan Nacional de Desarrollo PND 2015-2018</t>
  </si>
  <si>
    <r>
      <t xml:space="preserve">El Ministerio de Ambiente formuló en 2010 la </t>
    </r>
    <r>
      <rPr>
        <b/>
        <sz val="9"/>
        <color rgb="FF000000"/>
        <rFont val="Calibri"/>
        <family val="2"/>
        <scheme val="minor"/>
      </rPr>
      <t>Política Nacional de Producción y Consumo Sostenible (PPyCS)</t>
    </r>
    <r>
      <rPr>
        <sz val="9"/>
        <color rgb="FF000000"/>
        <rFont val="Calibri"/>
        <family val="2"/>
        <scheme val="minor"/>
      </rPr>
      <t>, con el propósito de orientar el cambio de los patrones de producción y consumo de la economía colombiana hacia la sostenibilidad ambiental y consecuente con ello, contribuir al mejoramiento de la competitividad empresarial.</t>
    </r>
  </si>
  <si>
    <t>Los sectores prioritarios de la PPyCS son:</t>
  </si>
  <si>
    <r>
      <t xml:space="preserve">Sector </t>
    </r>
    <r>
      <rPr>
        <b/>
        <sz val="9"/>
        <color rgb="FF000000"/>
        <rFont val="Calibri"/>
        <family val="2"/>
        <scheme val="minor"/>
      </rPr>
      <t xml:space="preserve">público </t>
    </r>
    <r>
      <rPr>
        <sz val="9"/>
        <color rgb="FF000000"/>
        <rFont val="Calibri"/>
        <family val="2"/>
        <scheme val="minor"/>
      </rPr>
      <t>(obras de infraestructura, vivienda social, tecnologías, transporte público, generación de energía). (i) Con perspectivas de incidir en avances de sostenibilidad de obras y proyectos de gran impacto; (ii) Con potencial de que sea considerado como ejemplo en las prácticas de producción y consumo sostenible.</t>
    </r>
  </si>
  <si>
    <r>
      <t xml:space="preserve">Sector de la </t>
    </r>
    <r>
      <rPr>
        <b/>
        <sz val="9"/>
        <color rgb="FF000000"/>
        <rFont val="Calibri"/>
        <family val="2"/>
        <scheme val="minor"/>
      </rPr>
      <t>construcción</t>
    </r>
    <r>
      <rPr>
        <sz val="9"/>
        <color rgb="FF000000"/>
        <rFont val="Calibri"/>
        <family val="2"/>
        <scheme val="minor"/>
      </rPr>
      <t>. (i) Con perspectivas de incidir a través de su diseño, en el consumo de energía y agua y en el manejo de residuos en el sector doméstico. (ii) Gran escala y crecimiento. (iii) Con perspectivas de utilizar materiales sostenibles y estimular a los proveedores hacia procesos de producción más sostenibles.</t>
    </r>
  </si>
  <si>
    <r>
      <t xml:space="preserve">Sector </t>
    </r>
    <r>
      <rPr>
        <b/>
        <sz val="9"/>
        <color rgb="FF000000"/>
        <rFont val="Calibri"/>
        <family val="2"/>
        <scheme val="minor"/>
      </rPr>
      <t>manufacturero</t>
    </r>
    <r>
      <rPr>
        <sz val="9"/>
        <color rgb="FF000000"/>
        <rFont val="Calibri"/>
        <family val="2"/>
        <scheme val="minor"/>
      </rPr>
      <t xml:space="preserve"> (envases y empaques, alimentos, productos químicos, metalurgia). (i)Con perspectivas de optimizar en sus procesos productivos el uso eficiente de energía, agua y materias primas. (ii) Con potencial para la reducción y el aprovechamiento de los residuos. (iii) Con potencial de reducir su huella de carbono.</t>
    </r>
  </si>
  <si>
    <r>
      <t xml:space="preserve">Sector </t>
    </r>
    <r>
      <rPr>
        <b/>
        <sz val="9"/>
        <color rgb="FF000000"/>
        <rFont val="Calibri"/>
        <family val="2"/>
        <scheme val="minor"/>
      </rPr>
      <t>agroindustrial</t>
    </r>
    <r>
      <rPr>
        <sz val="9"/>
        <color rgb="FF000000"/>
        <rFont val="Calibri"/>
        <family val="2"/>
        <scheme val="minor"/>
      </rPr>
      <t xml:space="preserve"> (azúcar, flores, banano, biocombustibles). (i) Con alto potencial de exportación. (ii) Sector en crecimiento, especialmente en relación con los biocombustibles. (iii) Sector intensivo en el uso de recursos y con alto potencial de optimización.</t>
    </r>
  </si>
  <si>
    <r>
      <t xml:space="preserve">Sector </t>
    </r>
    <r>
      <rPr>
        <b/>
        <sz val="9"/>
        <color rgb="FF000000"/>
        <rFont val="Calibri"/>
        <family val="2"/>
        <scheme val="minor"/>
      </rPr>
      <t>turismo</t>
    </r>
    <r>
      <rPr>
        <sz val="9"/>
        <color rgb="FF000000"/>
        <rFont val="Calibri"/>
        <family val="2"/>
        <scheme val="minor"/>
      </rPr>
      <t>. (i) Sector estratégico dentro las políticas de competitividad nacional. (ii) Con potencial para hacer uso eficiente de energía y agua y manejo adecuado de residuos. (iii) Con potencial para ser ejemplo por el uso racional de los recursos.</t>
    </r>
  </si>
  <si>
    <r>
      <t xml:space="preserve">Sector de </t>
    </r>
    <r>
      <rPr>
        <b/>
        <sz val="9"/>
        <color rgb="FF000000"/>
        <rFont val="Calibri"/>
        <family val="2"/>
        <scheme val="minor"/>
      </rPr>
      <t>alimentos ecológicos</t>
    </r>
    <r>
      <rPr>
        <sz val="9"/>
        <color rgb="FF000000"/>
        <rFont val="Calibri"/>
        <family val="2"/>
        <scheme val="minor"/>
      </rPr>
      <t>. (i) Con potencial de crecimiento hacia la exportación. (ii) Con potencial de ser considerado como ejemplo para prácticas de producción y consumo sostenible. Sector de productos y servicios provenientes de la biodiversidad. (i) Con potencial de crecimiento hacia la exportación. (ii) Con potencial de ser considerado como ejemplo para prácticas de producción, consumo y aprovechamiento sostenible. Pymes proveedoras de grandes empresas. (i) Con potencial de difusión de prácticas entre grupos de empresas. (ii) Con potencial de generación y conservación de empleo (iii) Con potencial para implementar prácticas de producción y consumo sostenible.</t>
    </r>
  </si>
  <si>
    <r>
      <t xml:space="preserve">Por su parte, el Plan Nacional de Desarrollo 2014-2018 incluyó la </t>
    </r>
    <r>
      <rPr>
        <b/>
        <sz val="9"/>
        <color rgb="FF000000"/>
        <rFont val="Calibri"/>
        <family val="2"/>
        <scheme val="minor"/>
      </rPr>
      <t>Estrategia Transversal y Envolvente de Crecimiento Verde</t>
    </r>
    <r>
      <rPr>
        <sz val="9"/>
        <color rgb="FF000000"/>
        <rFont val="Calibri"/>
        <family val="2"/>
        <scheme val="minor"/>
      </rPr>
      <t xml:space="preserve"> con el fin de alcanzar una Colombia en paz y un desarrollo económico sostenible. El crecimiento verde propende por un desarrollo sostenible que garantice el bienestar económico y social de la población en el largo plazo, asegurando que la base de los recursos provea los bienes y servicios ecosistémicos que el país necesita y el ambiente natural sea capaz de recuperarse ante los impactos de las actividades productivas (DNP 2014)</t>
    </r>
  </si>
  <si>
    <t>La Estrategia Nacional de Crecimiento Verde cuenta con tres objetivos:</t>
  </si>
  <si>
    <r>
      <t>1.</t>
    </r>
    <r>
      <rPr>
        <sz val="7"/>
        <color rgb="FF000000"/>
        <rFont val="Times New Roman"/>
        <family val="1"/>
      </rPr>
      <t xml:space="preserve">       </t>
    </r>
    <r>
      <rPr>
        <sz val="9"/>
        <color rgb="FF000000"/>
        <rFont val="Calibri"/>
        <family val="2"/>
      </rPr>
      <t>Avanzar hacia un crecimiento sostenible y bajo en carbono</t>
    </r>
  </si>
  <si>
    <r>
      <t>2.</t>
    </r>
    <r>
      <rPr>
        <sz val="7"/>
        <color rgb="FF000000"/>
        <rFont val="Times New Roman"/>
        <family val="1"/>
      </rPr>
      <t xml:space="preserve">       </t>
    </r>
    <r>
      <rPr>
        <sz val="9"/>
        <color rgb="FF000000"/>
        <rFont val="Calibri"/>
        <family val="2"/>
      </rPr>
      <t>Proteger y asegurar el uso sostenible del capital natural y mejorar la calidad y gobernanza ambiental</t>
    </r>
  </si>
  <si>
    <r>
      <t>3.</t>
    </r>
    <r>
      <rPr>
        <sz val="7"/>
        <color rgb="FF000000"/>
        <rFont val="Times New Roman"/>
        <family val="1"/>
      </rPr>
      <t xml:space="preserve">       </t>
    </r>
    <r>
      <rPr>
        <sz val="9"/>
        <color rgb="FF000000"/>
        <rFont val="Calibri"/>
        <family val="2"/>
      </rPr>
      <t>lograr un crecimiento resiliente y reducir la vulnerabilidad frente a los riesgos de desastres y al cambio climático.</t>
    </r>
  </si>
  <si>
    <t>En particular, la Estrategia promueve la adopción de prácticas de generación de valor agregado por parte de todos los sectores productivos; así como la identificación y aprovechamiento de las oportunidades de aumento en la competitividad, productividad y eficiencia, que a su vez reduzcan las emisiones de GEI en los diferentes sectores de la economía nacional y promuevan la resiliencia a los efectos adversos del cambio climático.</t>
  </si>
  <si>
    <t>Ahora bien, el papel de las Corporaciones Autónomas Regionales en este campo es acompañar los sectores productivos hacia la reconversión a sistemas sostenibles de producción.</t>
  </si>
  <si>
    <t>Se entiende por acompañamiento a los sectores productivos contiene las siguientes acciones:</t>
  </si>
  <si>
    <r>
      <t>·</t>
    </r>
    <r>
      <rPr>
        <sz val="7"/>
        <color rgb="FF000000"/>
        <rFont val="Times New Roman"/>
        <family val="1"/>
      </rPr>
      <t xml:space="preserve">        </t>
    </r>
    <r>
      <rPr>
        <sz val="9"/>
        <color rgb="FF000000"/>
        <rFont val="Calibri"/>
        <family val="2"/>
      </rPr>
      <t>Reuniones de construcción de agendas conjuntas de trabajo y de actualización de los convenios sectoriales de producción más limpia firmados como espacios de concertación</t>
    </r>
  </si>
  <si>
    <r>
      <t>·</t>
    </r>
    <r>
      <rPr>
        <sz val="7"/>
        <color rgb="FF000000"/>
        <rFont val="Times New Roman"/>
        <family val="1"/>
      </rPr>
      <t xml:space="preserve">        </t>
    </r>
    <r>
      <rPr>
        <sz val="9"/>
        <color rgb="FF000000"/>
        <rFont val="Calibri"/>
        <family val="2"/>
      </rPr>
      <t>Informes de seguimiento al cumplimiento de las agendas sectoriales.</t>
    </r>
  </si>
  <si>
    <r>
      <t>·</t>
    </r>
    <r>
      <rPr>
        <sz val="7"/>
        <color rgb="FF000000"/>
        <rFont val="Times New Roman"/>
        <family val="1"/>
      </rPr>
      <t xml:space="preserve">        </t>
    </r>
    <r>
      <rPr>
        <sz val="9"/>
        <color rgb="FF000000"/>
        <rFont val="Calibri"/>
        <family val="2"/>
      </rPr>
      <t>Eventos de capacitación a los sectores sobre producción y consumo sostenible.</t>
    </r>
  </si>
  <si>
    <r>
      <t>·</t>
    </r>
    <r>
      <rPr>
        <sz val="7"/>
        <color rgb="FF000000"/>
        <rFont val="Times New Roman"/>
        <family val="1"/>
      </rPr>
      <t xml:space="preserve">        </t>
    </r>
    <r>
      <rPr>
        <sz val="9"/>
        <color rgb="FF000000"/>
        <rFont val="Calibri"/>
        <family val="2"/>
      </rPr>
      <t>Eventos de socialización de experiencias exitosas de sistemas productivos sostenibles.</t>
    </r>
  </si>
  <si>
    <t>Número de sectores con acompañamiento para la reconversión hacia sistemas sostenibles de producción</t>
  </si>
  <si>
    <r>
      <t>PSA</t>
    </r>
    <r>
      <rPr>
        <vertAlign val="subscript"/>
        <sz val="9"/>
        <color rgb="FF000000"/>
        <rFont val="Calibri"/>
        <family val="2"/>
        <scheme val="minor"/>
      </rPr>
      <t xml:space="preserve"> t</t>
    </r>
    <r>
      <rPr>
        <sz val="9"/>
        <color rgb="FF000000"/>
        <rFont val="Calibri"/>
        <family val="2"/>
        <scheme val="minor"/>
      </rPr>
      <t xml:space="preserve"> = Porcentaje de sectores con acompañamiento para la reconversión hacia sistemas sostenibles de producción (PSA)</t>
    </r>
  </si>
  <si>
    <r>
      <t xml:space="preserve">SA </t>
    </r>
    <r>
      <rPr>
        <vertAlign val="subscript"/>
        <sz val="9"/>
        <color rgb="FF000000"/>
        <rFont val="Calibri"/>
        <family val="2"/>
        <scheme val="minor"/>
      </rPr>
      <t>it</t>
    </r>
    <r>
      <rPr>
        <sz val="9"/>
        <color rgb="FF000000"/>
        <rFont val="Calibri"/>
        <family val="2"/>
        <scheme val="minor"/>
      </rPr>
      <t xml:space="preserve"> = Sectores acompañados en la reconversión hacia sistemas sostenibles de producción (SA)</t>
    </r>
  </si>
  <si>
    <r>
      <t xml:space="preserve">SPA </t>
    </r>
    <r>
      <rPr>
        <vertAlign val="subscript"/>
        <sz val="9"/>
        <color rgb="FF000000"/>
        <rFont val="Calibri"/>
        <family val="2"/>
        <scheme val="minor"/>
      </rPr>
      <t>it</t>
    </r>
    <r>
      <rPr>
        <sz val="9"/>
        <color rgb="FF000000"/>
        <rFont val="Calibri"/>
        <family val="2"/>
        <scheme val="minor"/>
      </rPr>
      <t xml:space="preserve"> = Número de sectores priorizados para acompañamiento en la reconversión hacia sistemas sostenibles de producción (SPA)</t>
    </r>
  </si>
  <si>
    <t>Ejecución presupuestal de acciones relacionadas con el acompañamiento para la reconversión hacia sistemas sostenibles de producción</t>
  </si>
  <si>
    <r>
      <t xml:space="preserve">EPAARSSP </t>
    </r>
    <r>
      <rPr>
        <vertAlign val="subscript"/>
        <sz val="9"/>
        <color rgb="FF000000"/>
        <rFont val="Calibri"/>
        <family val="2"/>
        <scheme val="minor"/>
      </rPr>
      <t>t</t>
    </r>
    <r>
      <rPr>
        <sz val="9"/>
        <color rgb="FF000000"/>
        <rFont val="Calibri"/>
        <family val="2"/>
        <scheme val="minor"/>
      </rPr>
      <t xml:space="preserve"> = Ejecución presupuestal de acciones relacionadas con el acompañamiento para la reconversión hacia sistemas sostenibles de producción, en el tiempo t</t>
    </r>
  </si>
  <si>
    <r>
      <t xml:space="preserve">CARSSP </t>
    </r>
    <r>
      <rPr>
        <vertAlign val="subscript"/>
        <sz val="9"/>
        <color rgb="FF000000"/>
        <rFont val="Calibri"/>
        <family val="2"/>
        <scheme val="minor"/>
      </rPr>
      <t>it</t>
    </r>
    <r>
      <rPr>
        <sz val="9"/>
        <color rgb="FF000000"/>
        <rFont val="Calibri"/>
        <family val="2"/>
        <scheme val="minor"/>
      </rPr>
      <t xml:space="preserve"> = Compromisos correspondientes a la acción i relacionada con el acompañamiento para la reconversión hacia sistemas sostenibles de producción, en el tiempo t.</t>
    </r>
  </si>
  <si>
    <r>
      <t xml:space="preserve">PDAARSSP </t>
    </r>
    <r>
      <rPr>
        <vertAlign val="subscript"/>
        <sz val="9"/>
        <color rgb="FF000000"/>
        <rFont val="Calibri"/>
        <family val="2"/>
        <scheme val="minor"/>
      </rPr>
      <t>it</t>
    </r>
    <r>
      <rPr>
        <sz val="9"/>
        <color rgb="FF000000"/>
        <rFont val="Calibri"/>
        <family val="2"/>
        <scheme val="minor"/>
      </rPr>
      <t xml:space="preserve"> = Presupuesto definitivo a la acción i relacionada con el acompañamiento para la reconversión hacia sistemas sostenibles de producción, en el tiempo t.</t>
    </r>
  </si>
  <si>
    <t>Número de sectores priorizados para acompañamiento en la reconversión hacia sistemas sostenibles de producción (SPA)</t>
  </si>
  <si>
    <t>Indicador Complementario:</t>
  </si>
  <si>
    <t>Sector(es)</t>
  </si>
  <si>
    <t>Ejecución Presupuestal (%)</t>
  </si>
  <si>
    <t>inicial</t>
  </si>
  <si>
    <t>Ppto. Definitivo</t>
  </si>
  <si>
    <t>Cálculo de la ejecución física y presupuestal de acciones relacionadas con el acompañamiento para la reconversión hacia sistemas sostenibles de producción</t>
  </si>
  <si>
    <t>Ponderador</t>
  </si>
  <si>
    <t>Ejecución Presupuestal</t>
  </si>
  <si>
    <t>Compromisos / Ppto. Definitivo</t>
  </si>
  <si>
    <t>Pagos /</t>
  </si>
  <si>
    <t>Cuanto más cercano a cien por ciento, mayor es el cumplimiento de las metas establecidas en relación con los sectores priorizados por la Corporación para hacerles acompañamiento en la reconversión hacia sistemas sostenibles de producción.</t>
  </si>
  <si>
    <r>
      <t>Hoja Metodológica de referencia:</t>
    </r>
    <r>
      <rPr>
        <sz val="9"/>
        <color rgb="FF000000"/>
        <rFont val="Calibri"/>
        <family val="2"/>
        <scheme val="minor"/>
      </rPr>
      <t xml:space="preserve"> MADS (2016). </t>
    </r>
    <r>
      <rPr>
        <i/>
        <sz val="9"/>
        <color rgb="FF000000"/>
        <rFont val="Calibri"/>
        <family val="2"/>
        <scheme val="minor"/>
      </rPr>
      <t>Hoja metodológica Porcentaje de sectores con acompañamiento para la reconversión hacia sistemas sostenibles de producción (Versión 1.0).</t>
    </r>
    <r>
      <rPr>
        <sz val="9"/>
        <color rgb="FF000000"/>
        <rFont val="Calibri"/>
        <family val="2"/>
        <scheme val="minor"/>
      </rPr>
      <t xml:space="preserve"> Ministerio de Ambiente y Desarrollo Sostenible MADS, DGOAT-SINA y DAASU.</t>
    </r>
  </si>
  <si>
    <t>Porcentaje de ejecución de acciones en Gestión Ambiental Urbana</t>
  </si>
  <si>
    <t>Es el porcentaje de avance en la ejecución, por parte de la corporación autónoma regional, de las acciones relacionadas con la gestión ambiental urbana en el marco del Plan de Acción.</t>
  </si>
  <si>
    <t>El indicador mide el cumplimiento de las metas que la autoridad ambiental se ha propuesto alcanzar en relación con la gestión ambiental urbana, en el marco del Plan de Acción de la Corporación. De esta manera, contribuye a la ejecución, a nivel regional y local, de la Política de Gestión Ambiental Urbana (2008).</t>
  </si>
  <si>
    <t>Ley 1753 de 2015.</t>
  </si>
  <si>
    <t>Espacio público: Decreto 1077 de 2015.</t>
  </si>
  <si>
    <t>Estructura Ecológica Principal: Decreto 1077 de 2015.</t>
  </si>
  <si>
    <t>Política de Gestión Ambiental Urbana.</t>
  </si>
  <si>
    <t>Política para la Prevención y Control de la Contaminación del Aire.</t>
  </si>
  <si>
    <t>Política para la Gestión Integral de Residuos Sólidos.</t>
  </si>
  <si>
    <t>Política para la Gestión Integral de la Biodiversidad y sus servicios ecosistémicos.</t>
  </si>
  <si>
    <t>CONPES 3718 de 2012, Espacio público.</t>
  </si>
  <si>
    <t>CONPES 3819 de 2014</t>
  </si>
  <si>
    <t>Circular 8000-2-344415 de 2013, ICAU.</t>
  </si>
  <si>
    <t>La gestión ambiental urbana se refiere a la “gestión de los recursos naturales renovables y los problemas ambientales urbanos y sus efectos en la región o regiones vecinas. La gestión ambiental urbana es una acción conjunta entre el Estado y los actores sociales, que se articula con la gestión territorial, las políticas ambientales y las políticas o planes sectoriales que tienen relación o afectan el medio ambiente en el ámbito urbano regional. Esta gestión, demanda el uso selectivo y combinado de herramientas jurídicas, de planeación, técnicas, económicas, financieras y administrativas para lograr la protección y funcionamiento de los ecosistemas y el mejoramiento de la calidad de vida de la población, dentro de un marco de ciudad sostenible” (Política de Gestión Ambiental Urbana).</t>
  </si>
  <si>
    <t>La gestión ambiental urbana se centra en dos ejes principales:</t>
  </si>
  <si>
    <r>
      <t>1)</t>
    </r>
    <r>
      <rPr>
        <sz val="7"/>
        <color rgb="FF000000"/>
        <rFont val="Times New Roman"/>
        <family val="1"/>
      </rPr>
      <t xml:space="preserve">      </t>
    </r>
    <r>
      <rPr>
        <sz val="9"/>
        <color rgb="FF000000"/>
        <rFont val="Calibri"/>
        <family val="2"/>
        <scheme val="minor"/>
      </rPr>
      <t>La gestión ambiental de los componentes constitutivos del medio ambiente, comúnmente denominados recursos naturales renovables: agua (en cualquier estado), atmósfera (troposfera y estratosfera), suelo y subsuelo, biodiversidad (ecosistemas, especies, recursos genéticos), fuentes primarias de energía no agotable y paisaje.</t>
    </r>
  </si>
  <si>
    <r>
      <t>2)</t>
    </r>
    <r>
      <rPr>
        <sz val="7"/>
        <color rgb="FF000000"/>
        <rFont val="Times New Roman"/>
        <family val="1"/>
      </rPr>
      <t xml:space="preserve">      </t>
    </r>
    <r>
      <rPr>
        <sz val="9"/>
        <color rgb="FF000000"/>
        <rFont val="Calibri"/>
        <family val="2"/>
        <scheme val="minor"/>
      </rPr>
      <t>La gestión ambiental de los problemas ambientales, entendida como la gestión sobre los elementos o factores que interactúan e inciden sobre el ambiente en las áreas urbanas, entre los cuales se pueden mencionar: factores que ocasionan contaminación y deterioro de los recursos naturales renovables; factores que ocasionan pérdida o deterioro de la biodiversidad; factores que ocasionan pérdida o deterioro del espacio público y del paisaje; inadecuada gestión y disposición de residuos sólidos, líquidos y gaseosos; uso ineficiente de la energía y falta de uso de fuentes no convencionales de energía; riesgos de origen natural y antrópico; pasivos ambientales, patrones insostenibles de ocupación del territorio, patrones insostenibles de producción y consumo; baja o falta de conciencia y cultura ambiental de la población de las áreas urbanas; pérdida de valores socio - culturales de la población urbana, que puede llevar a la pérdida de su identidad cultural y en consecuencia de su sentido de pertenencia del entorno; e insuficiente respuesta institucional del SINA, en términos de escasos niveles de coordinación y baja capacidad técnica y operativa para atender la problemática urbana (PGAU)</t>
    </r>
  </si>
  <si>
    <t>Cabe aclarar que la gestión para el manejo de estos recursos, elementos y factores en las áreas urbanas involucra, de manera diferenciada, a las autoridades ambientales: (Corporaciones autónomas regionales y de desarrollo sostenible); Grandes Centros Urbanos a que se refiere el artículo 66 de la Ley 99 de 1993, a los establecimientos públicos de que trata del artículo 13 de la Ley 768 de 2003; el artículo 124 de la Ley 1617 de 2013; las áreas metropolitanas a que se refiere el literal J del artículo 7 de la Ley 1625 de 2013 y a los entes territoriales, dentro de su respectivo marco de competencias y jurisdicción.</t>
  </si>
  <si>
    <t>Dicha gestión se realiza en el marco de la Política de Gestión Ambiental Urbana. En tal sentido, las principales temáticas en gestión ambiental urbana en las que tienen competencia las Corporaciones Autónomas Regionales son:</t>
  </si>
  <si>
    <r>
      <t>1)</t>
    </r>
    <r>
      <rPr>
        <sz val="7"/>
        <color rgb="FF000000"/>
        <rFont val="Times New Roman"/>
        <family val="1"/>
      </rPr>
      <t xml:space="preserve">      </t>
    </r>
    <r>
      <rPr>
        <sz val="9"/>
        <color rgb="FF000000"/>
        <rFont val="Calibri"/>
        <family val="2"/>
        <scheme val="minor"/>
      </rPr>
      <t>Planificación y ordenamiento ambiental en áreas urbanas</t>
    </r>
  </si>
  <si>
    <r>
      <t>2)</t>
    </r>
    <r>
      <rPr>
        <sz val="7"/>
        <color rgb="FF000000"/>
        <rFont val="Times New Roman"/>
        <family val="1"/>
      </rPr>
      <t xml:space="preserve">      </t>
    </r>
    <r>
      <rPr>
        <sz val="9"/>
        <color rgb="FF000000"/>
        <rFont val="Calibri"/>
        <family val="2"/>
        <scheme val="minor"/>
      </rPr>
      <t>Gestión ambiental del Riesgo en áreas urbanas</t>
    </r>
  </si>
  <si>
    <r>
      <t>3)</t>
    </r>
    <r>
      <rPr>
        <sz val="7"/>
        <color rgb="FF000000"/>
        <rFont val="Times New Roman"/>
        <family val="1"/>
      </rPr>
      <t xml:space="preserve">      </t>
    </r>
    <r>
      <rPr>
        <sz val="9"/>
        <color rgb="FF000000"/>
        <rFont val="Calibri"/>
        <family val="2"/>
        <scheme val="minor"/>
      </rPr>
      <t>Gestión ambiental del Espacio Público en áreas urbanas</t>
    </r>
  </si>
  <si>
    <r>
      <t>4)</t>
    </r>
    <r>
      <rPr>
        <sz val="7"/>
        <color rgb="FF000000"/>
        <rFont val="Times New Roman"/>
        <family val="1"/>
      </rPr>
      <t xml:space="preserve">      </t>
    </r>
    <r>
      <rPr>
        <sz val="9"/>
        <color rgb="FF000000"/>
        <rFont val="Calibri"/>
        <family val="2"/>
        <scheme val="minor"/>
      </rPr>
      <t>Prevención y Control de la Contaminación del Aire en áreas urbanas (fenómeno de acumulación o concentración de contaminantes en el aire generado por diferentes tipos entre ellos contaminantes criterio, ruido y olores ofensivos)</t>
    </r>
  </si>
  <si>
    <r>
      <t>5)</t>
    </r>
    <r>
      <rPr>
        <sz val="7"/>
        <color rgb="FF000000"/>
        <rFont val="Times New Roman"/>
        <family val="1"/>
      </rPr>
      <t xml:space="preserve">      </t>
    </r>
    <r>
      <rPr>
        <sz val="9"/>
        <color rgb="FF000000"/>
        <rFont val="Calibri"/>
        <family val="2"/>
        <scheme val="minor"/>
      </rPr>
      <t>Gestión del Recurso Hídrico en áreas urbanas</t>
    </r>
  </si>
  <si>
    <r>
      <t>6)</t>
    </r>
    <r>
      <rPr>
        <sz val="7"/>
        <color rgb="FF000000"/>
        <rFont val="Times New Roman"/>
        <family val="1"/>
      </rPr>
      <t xml:space="preserve">      </t>
    </r>
    <r>
      <rPr>
        <sz val="9"/>
        <color rgb="FF000000"/>
        <rFont val="Calibri"/>
        <family val="2"/>
        <scheme val="minor"/>
      </rPr>
      <t>Gestión de Residuos sólidos en áreas urbanas</t>
    </r>
  </si>
  <si>
    <r>
      <t>7)</t>
    </r>
    <r>
      <rPr>
        <sz val="7"/>
        <color rgb="FF000000"/>
        <rFont val="Times New Roman"/>
        <family val="1"/>
      </rPr>
      <t xml:space="preserve">      </t>
    </r>
    <r>
      <rPr>
        <sz val="9"/>
        <color rgb="FF000000"/>
        <rFont val="Calibri"/>
        <family val="2"/>
        <scheme val="minor"/>
      </rPr>
      <t>Índice de calidad ambiental urbana</t>
    </r>
  </si>
  <si>
    <r>
      <t>8)</t>
    </r>
    <r>
      <rPr>
        <sz val="7"/>
        <color rgb="FF000000"/>
        <rFont val="Times New Roman"/>
        <family val="1"/>
      </rPr>
      <t xml:space="preserve">      </t>
    </r>
    <r>
      <rPr>
        <sz val="9"/>
        <color rgb="FF000000"/>
        <rFont val="Calibri"/>
        <family val="2"/>
        <scheme val="minor"/>
      </rPr>
      <t>Participación en gestión ambiental urbana</t>
    </r>
  </si>
  <si>
    <t>Las principales acciones relacionadas con la gestión ambiental urbana son las siguientes:</t>
  </si>
  <si>
    <r>
      <t>1)</t>
    </r>
    <r>
      <rPr>
        <sz val="7"/>
        <color rgb="FF000000"/>
        <rFont val="Times New Roman"/>
        <family val="1"/>
      </rPr>
      <t xml:space="preserve">      </t>
    </r>
    <r>
      <rPr>
        <sz val="9"/>
        <color rgb="FF000000"/>
        <rFont val="Calibri"/>
        <family val="2"/>
        <scheme val="minor"/>
      </rPr>
      <t>Planificación y ordenamiento ambiental en áreas urbanas, que incluye:</t>
    </r>
  </si>
  <si>
    <r>
      <t>a)</t>
    </r>
    <r>
      <rPr>
        <sz val="7"/>
        <color rgb="FF000000"/>
        <rFont val="Times New Roman"/>
        <family val="1"/>
      </rPr>
      <t xml:space="preserve">      </t>
    </r>
    <r>
      <rPr>
        <sz val="9"/>
        <color rgb="FF000000"/>
        <rFont val="Calibri"/>
        <family val="2"/>
        <scheme val="minor"/>
      </rPr>
      <t>Identificar y gestionar la estructura ecológica urbana</t>
    </r>
  </si>
  <si>
    <r>
      <t>b)</t>
    </r>
    <r>
      <rPr>
        <sz val="7"/>
        <color rgb="FF000000"/>
        <rFont val="Times New Roman"/>
        <family val="1"/>
      </rPr>
      <t xml:space="preserve">      </t>
    </r>
    <r>
      <rPr>
        <sz val="9"/>
        <color rgb="FF000000"/>
        <rFont val="Calibri"/>
        <family val="2"/>
        <scheme val="minor"/>
      </rPr>
      <t>Asesorar a los entes territoriales en la inclusión del componente ambiental urbano en los procesos de planificación y ordenamiento territorial, incluyendo el establecimiento de determinantes ambientales urbanos.</t>
    </r>
  </si>
  <si>
    <r>
      <t>c)</t>
    </r>
    <r>
      <rPr>
        <sz val="7"/>
        <color rgb="FF000000"/>
        <rFont val="Times New Roman"/>
        <family val="1"/>
      </rPr>
      <t xml:space="preserve">       </t>
    </r>
    <r>
      <rPr>
        <sz val="9"/>
        <color rgb="FF000000"/>
        <rFont val="Calibri"/>
        <family val="2"/>
        <scheme val="minor"/>
      </rPr>
      <t>Implementar estrategias de conservación y uso sostenible de los recursos naturales renovables que conforman la base natural.</t>
    </r>
  </si>
  <si>
    <r>
      <t>2)</t>
    </r>
    <r>
      <rPr>
        <sz val="7"/>
        <color rgb="FF000000"/>
        <rFont val="Times New Roman"/>
        <family val="1"/>
      </rPr>
      <t xml:space="preserve">      </t>
    </r>
    <r>
      <rPr>
        <sz val="9"/>
        <color rgb="FF000000"/>
        <rFont val="Calibri"/>
        <family val="2"/>
        <scheme val="minor"/>
      </rPr>
      <t>Gestión ambiental del Espacio Público en áreas urbanas, sin perjuicio de las competencias de las entidades territoriales.</t>
    </r>
  </si>
  <si>
    <r>
      <t>a)</t>
    </r>
    <r>
      <rPr>
        <sz val="7"/>
        <color rgb="FF000000"/>
        <rFont val="Times New Roman"/>
        <family val="1"/>
      </rPr>
      <t xml:space="preserve">      </t>
    </r>
    <r>
      <rPr>
        <sz val="9"/>
        <color rgb="FF000000"/>
        <rFont val="Calibri"/>
        <family val="2"/>
        <scheme val="minor"/>
      </rPr>
      <t>Conservar, manejar y restaurar elementos naturales del espacio público urbano.</t>
    </r>
  </si>
  <si>
    <r>
      <t>b)</t>
    </r>
    <r>
      <rPr>
        <sz val="7"/>
        <color rgb="FF000000"/>
        <rFont val="Times New Roman"/>
        <family val="1"/>
      </rPr>
      <t xml:space="preserve">      </t>
    </r>
    <r>
      <rPr>
        <sz val="9"/>
        <color rgb="FF000000"/>
        <rFont val="Calibri"/>
        <family val="2"/>
        <scheme val="minor"/>
      </rPr>
      <t>Prevenir y controlar la afectación ambiental en el espacio público.</t>
    </r>
  </si>
  <si>
    <r>
      <t>c)</t>
    </r>
    <r>
      <rPr>
        <sz val="7"/>
        <color rgb="FF000000"/>
        <rFont val="Times New Roman"/>
        <family val="1"/>
      </rPr>
      <t xml:space="preserve">       </t>
    </r>
    <r>
      <rPr>
        <sz val="9"/>
        <color rgb="FF000000"/>
        <rFont val="Calibri"/>
        <family val="2"/>
        <scheme val="minor"/>
      </rPr>
      <t>Promover, orientar y acompañar la gestión ambiental del espacio público por parte de las entidades territoriales.</t>
    </r>
  </si>
  <si>
    <r>
      <t>3)</t>
    </r>
    <r>
      <rPr>
        <sz val="7"/>
        <color rgb="FF000000"/>
        <rFont val="Times New Roman"/>
        <family val="1"/>
      </rPr>
      <t xml:space="preserve">      </t>
    </r>
    <r>
      <rPr>
        <sz val="9"/>
        <color rgb="FF000000"/>
        <rFont val="Calibri"/>
        <family val="2"/>
        <scheme val="minor"/>
      </rPr>
      <t>Prevención y Control de la Contaminación del Aire en áreas urbanas.</t>
    </r>
  </si>
  <si>
    <r>
      <t>a)</t>
    </r>
    <r>
      <rPr>
        <sz val="7"/>
        <color rgb="FF000000"/>
        <rFont val="Times New Roman"/>
        <family val="1"/>
      </rPr>
      <t xml:space="preserve">      </t>
    </r>
    <r>
      <rPr>
        <sz val="9"/>
        <color rgb="FF000000"/>
        <rFont val="Calibri"/>
        <family val="2"/>
        <scheme val="minor"/>
      </rPr>
      <t>Diseñar y ejecutar acciones integrales para la prevención y control de la contaminación del aire.</t>
    </r>
  </si>
  <si>
    <r>
      <t>b)</t>
    </r>
    <r>
      <rPr>
        <sz val="7"/>
        <color rgb="FF000000"/>
        <rFont val="Times New Roman"/>
        <family val="1"/>
      </rPr>
      <t xml:space="preserve">      </t>
    </r>
    <r>
      <rPr>
        <sz val="9"/>
        <color rgb="FF000000"/>
        <rFont val="Calibri"/>
        <family val="2"/>
        <scheme val="minor"/>
      </rPr>
      <t>Fortalecer la capacidad institucional para el control y seguimiento de la contaminación del aire.</t>
    </r>
  </si>
  <si>
    <r>
      <t>c)</t>
    </r>
    <r>
      <rPr>
        <sz val="7"/>
        <color rgb="FF000000"/>
        <rFont val="Times New Roman"/>
        <family val="1"/>
      </rPr>
      <t xml:space="preserve">       </t>
    </r>
    <r>
      <rPr>
        <sz val="9"/>
        <color rgb="FF000000"/>
        <rFont val="Calibri"/>
        <family val="2"/>
        <scheme val="minor"/>
      </rPr>
      <t>Establecer e implementar programas de reducción de la contaminación del aire, cuando se requiera.</t>
    </r>
  </si>
  <si>
    <r>
      <t>d)</t>
    </r>
    <r>
      <rPr>
        <sz val="7"/>
        <color rgb="FF000000"/>
        <rFont val="Times New Roman"/>
        <family val="1"/>
      </rPr>
      <t xml:space="preserve">      </t>
    </r>
    <r>
      <rPr>
        <sz val="9"/>
        <color rgb="FF000000"/>
        <rFont val="Calibri"/>
        <family val="2"/>
        <scheme val="minor"/>
      </rPr>
      <t>Fortalecer las mesas regionales de calidad del aire donde se establezca la articulación entre las diferentes entidades relacionadas con la prevención y el control de la contaminación del aire.</t>
    </r>
  </si>
  <si>
    <r>
      <t>e)</t>
    </r>
    <r>
      <rPr>
        <sz val="7"/>
        <color rgb="FF000000"/>
        <rFont val="Times New Roman"/>
        <family val="1"/>
      </rPr>
      <t xml:space="preserve">      </t>
    </r>
    <r>
      <rPr>
        <sz val="9"/>
        <color rgb="FF000000"/>
        <rFont val="Calibri"/>
        <family val="2"/>
        <scheme val="minor"/>
      </rPr>
      <t>Asesorar a los entes territoriales para el mejor cumplimiento de sus funciones de control y vigilancia de los fenómenos de contaminación del aire.</t>
    </r>
  </si>
  <si>
    <r>
      <t>4)</t>
    </r>
    <r>
      <rPr>
        <sz val="7"/>
        <color rgb="FF000000"/>
        <rFont val="Times New Roman"/>
        <family val="1"/>
      </rPr>
      <t xml:space="preserve">      </t>
    </r>
    <r>
      <rPr>
        <sz val="9"/>
        <color rgb="FF000000"/>
        <rFont val="Calibri"/>
        <family val="2"/>
        <scheme val="minor"/>
      </rPr>
      <t>Gestión del Recurso Hídrico en áreas urbanas.</t>
    </r>
  </si>
  <si>
    <r>
      <t>a)</t>
    </r>
    <r>
      <rPr>
        <sz val="7"/>
        <color rgb="FF000000"/>
        <rFont val="Times New Roman"/>
        <family val="1"/>
      </rPr>
      <t xml:space="preserve">      </t>
    </r>
    <r>
      <rPr>
        <sz val="9"/>
        <color rgb="FF000000"/>
        <rFont val="Calibri"/>
        <family val="2"/>
        <scheme val="minor"/>
      </rPr>
      <t>Promover el uso eficiente y ahorro de agua.</t>
    </r>
  </si>
  <si>
    <r>
      <t>5)</t>
    </r>
    <r>
      <rPr>
        <sz val="7"/>
        <color rgb="FF000000"/>
        <rFont val="Times New Roman"/>
        <family val="1"/>
      </rPr>
      <t xml:space="preserve">      </t>
    </r>
    <r>
      <rPr>
        <sz val="9"/>
        <color rgb="FF000000"/>
        <rFont val="Calibri"/>
        <family val="2"/>
        <scheme val="minor"/>
      </rPr>
      <t>Gestión de Residuos sólidos en áreas urbanas.</t>
    </r>
  </si>
  <si>
    <r>
      <t>a)</t>
    </r>
    <r>
      <rPr>
        <sz val="7"/>
        <color rgb="FF000000"/>
        <rFont val="Times New Roman"/>
        <family val="1"/>
      </rPr>
      <t xml:space="preserve">      </t>
    </r>
    <r>
      <rPr>
        <sz val="9"/>
        <color rgb="FF000000"/>
        <rFont val="Calibri"/>
        <family val="2"/>
        <scheme val="minor"/>
      </rPr>
      <t>Promover el aprovechamiento de residuos sólidos.</t>
    </r>
  </si>
  <si>
    <r>
      <t>6)</t>
    </r>
    <r>
      <rPr>
        <sz val="7"/>
        <color rgb="FF000000"/>
        <rFont val="Times New Roman"/>
        <family val="1"/>
      </rPr>
      <t xml:space="preserve">      </t>
    </r>
    <r>
      <rPr>
        <sz val="9"/>
        <color rgb="FF000000"/>
        <rFont val="Calibri"/>
        <family val="2"/>
        <scheme val="minor"/>
      </rPr>
      <t>Compilar y reportar la información relacionada con los indicadores que conformar el Índice de Calidad Ambiental Urbana (ICAU)</t>
    </r>
  </si>
  <si>
    <r>
      <t>7)</t>
    </r>
    <r>
      <rPr>
        <sz val="7"/>
        <color rgb="FF000000"/>
        <rFont val="Times New Roman"/>
        <family val="1"/>
      </rPr>
      <t xml:space="preserve">      </t>
    </r>
    <r>
      <rPr>
        <sz val="9"/>
        <color rgb="FF000000"/>
        <rFont val="Calibri"/>
        <family val="2"/>
        <scheme val="minor"/>
      </rPr>
      <t>Participación en gestión ambiental urbana</t>
    </r>
  </si>
  <si>
    <r>
      <t>a)</t>
    </r>
    <r>
      <rPr>
        <sz val="7"/>
        <color rgb="FF000000"/>
        <rFont val="Times New Roman"/>
        <family val="1"/>
      </rPr>
      <t xml:space="preserve">      </t>
    </r>
    <r>
      <rPr>
        <sz val="9"/>
        <color rgb="FF000000"/>
        <rFont val="Calibri"/>
        <family val="2"/>
        <scheme val="minor"/>
      </rPr>
      <t xml:space="preserve">Promover y fortalecer los espacios de participación social en gestión ambiental urbana </t>
    </r>
  </si>
  <si>
    <t>Porcentaje de ejecución de acciones relacionadas con la gestión ambiental urbana.</t>
  </si>
  <si>
    <r>
      <t xml:space="preserve">ETAGAU </t>
    </r>
    <r>
      <rPr>
        <vertAlign val="subscript"/>
        <sz val="9"/>
        <color rgb="FF000000"/>
        <rFont val="Calibri"/>
        <family val="2"/>
        <scheme val="minor"/>
      </rPr>
      <t>t</t>
    </r>
    <r>
      <rPr>
        <sz val="9"/>
        <color rgb="FF000000"/>
        <rFont val="Calibri"/>
        <family val="2"/>
        <scheme val="minor"/>
      </rPr>
      <t xml:space="preserve"> = Porcentaje de ejecución total de acciones en gestión ambiental urbana, en el tiempo t.</t>
    </r>
  </si>
  <si>
    <r>
      <t xml:space="preserve">EAGAU </t>
    </r>
    <r>
      <rPr>
        <vertAlign val="subscript"/>
        <sz val="9"/>
        <color rgb="FF000000"/>
        <rFont val="Calibri"/>
        <family val="2"/>
        <scheme val="minor"/>
      </rPr>
      <t>t1t</t>
    </r>
    <r>
      <rPr>
        <sz val="9"/>
        <color rgb="FF000000"/>
        <rFont val="Calibri"/>
        <family val="2"/>
        <scheme val="minor"/>
      </rPr>
      <t xml:space="preserve"> = Porcentaje de ejecución de la acción </t>
    </r>
    <r>
      <rPr>
        <i/>
        <sz val="9"/>
        <color rgb="FF000000"/>
        <rFont val="Calibri"/>
        <family val="2"/>
        <scheme val="minor"/>
      </rPr>
      <t>1</t>
    </r>
    <r>
      <rPr>
        <sz val="9"/>
        <color rgb="FF000000"/>
        <rFont val="Calibri"/>
        <family val="2"/>
        <scheme val="minor"/>
      </rPr>
      <t xml:space="preserve"> relacionada con la gestión ambiental urbana, en el tiempo t.</t>
    </r>
  </si>
  <si>
    <r>
      <t xml:space="preserve">EAGAU </t>
    </r>
    <r>
      <rPr>
        <vertAlign val="subscript"/>
        <sz val="9"/>
        <color rgb="FF000000"/>
        <rFont val="Calibri"/>
        <family val="2"/>
        <scheme val="minor"/>
      </rPr>
      <t>2t</t>
    </r>
    <r>
      <rPr>
        <sz val="9"/>
        <color rgb="FF000000"/>
        <rFont val="Calibri"/>
        <family val="2"/>
        <scheme val="minor"/>
      </rPr>
      <t xml:space="preserve"> = Porcentaje de ejecución de la acción </t>
    </r>
    <r>
      <rPr>
        <i/>
        <sz val="9"/>
        <color rgb="FF000000"/>
        <rFont val="Calibri"/>
        <family val="2"/>
        <scheme val="minor"/>
      </rPr>
      <t>2</t>
    </r>
    <r>
      <rPr>
        <sz val="9"/>
        <color rgb="FF000000"/>
        <rFont val="Calibri"/>
        <family val="2"/>
        <scheme val="minor"/>
      </rPr>
      <t xml:space="preserve"> relacionada con la gestión ambiental urbana, en el tiempo t.</t>
    </r>
  </si>
  <si>
    <r>
      <t xml:space="preserve">EAGAU </t>
    </r>
    <r>
      <rPr>
        <vertAlign val="subscript"/>
        <sz val="9"/>
        <color rgb="FF000000"/>
        <rFont val="Calibri"/>
        <family val="2"/>
        <scheme val="minor"/>
      </rPr>
      <t>nt</t>
    </r>
    <r>
      <rPr>
        <sz val="9"/>
        <color rgb="FF000000"/>
        <rFont val="Calibri"/>
        <family val="2"/>
        <scheme val="minor"/>
      </rPr>
      <t xml:space="preserve"> = Porcentaje de ejecución de la acción </t>
    </r>
    <r>
      <rPr>
        <i/>
        <sz val="9"/>
        <color rgb="FF000000"/>
        <rFont val="Calibri"/>
        <family val="2"/>
        <scheme val="minor"/>
      </rPr>
      <t>n</t>
    </r>
    <r>
      <rPr>
        <sz val="9"/>
        <color rgb="FF000000"/>
        <rFont val="Calibri"/>
        <family val="2"/>
        <scheme val="minor"/>
      </rPr>
      <t xml:space="preserve"> relacionada con la gestión ambiental urbana, en el tiempo t.</t>
    </r>
  </si>
  <si>
    <r>
      <t>a = ponderador de EAGAU</t>
    </r>
    <r>
      <rPr>
        <vertAlign val="subscript"/>
        <sz val="9"/>
        <color rgb="FF000000"/>
        <rFont val="Calibri"/>
        <family val="2"/>
        <scheme val="minor"/>
      </rPr>
      <t>1</t>
    </r>
    <r>
      <rPr>
        <sz val="9"/>
        <color rgb="FF000000"/>
        <rFont val="Calibri"/>
        <family val="2"/>
        <scheme val="minor"/>
      </rPr>
      <t>.</t>
    </r>
  </si>
  <si>
    <r>
      <t>b = ponderador de EAGAU</t>
    </r>
    <r>
      <rPr>
        <vertAlign val="subscript"/>
        <sz val="9"/>
        <color rgb="FF000000"/>
        <rFont val="Calibri"/>
        <family val="2"/>
        <scheme val="minor"/>
      </rPr>
      <t>2</t>
    </r>
    <r>
      <rPr>
        <sz val="9"/>
        <color rgb="FF000000"/>
        <rFont val="Calibri"/>
        <family val="2"/>
        <scheme val="minor"/>
      </rPr>
      <t>.</t>
    </r>
  </si>
  <si>
    <r>
      <t>z = ponderador de EAGAU</t>
    </r>
    <r>
      <rPr>
        <vertAlign val="subscript"/>
        <sz val="9"/>
        <color rgb="FF000000"/>
        <rFont val="Calibri"/>
        <family val="2"/>
        <scheme val="minor"/>
      </rPr>
      <t>n</t>
    </r>
    <r>
      <rPr>
        <sz val="9"/>
        <color rgb="FF000000"/>
        <rFont val="Calibri"/>
        <family val="2"/>
        <scheme val="minor"/>
      </rPr>
      <t>.</t>
    </r>
  </si>
  <si>
    <t>a + b + c+…+z = 1.</t>
  </si>
  <si>
    <t>Ejecución presupuestal de acciones relacionadas con la gestión ambiental urbana.</t>
  </si>
  <si>
    <r>
      <t xml:space="preserve">EPAGAU </t>
    </r>
    <r>
      <rPr>
        <vertAlign val="subscript"/>
        <sz val="9"/>
        <color rgb="FF000000"/>
        <rFont val="Calibri"/>
        <family val="2"/>
        <scheme val="minor"/>
      </rPr>
      <t>t</t>
    </r>
    <r>
      <rPr>
        <sz val="9"/>
        <color rgb="FF000000"/>
        <rFont val="Calibri"/>
        <family val="2"/>
        <scheme val="minor"/>
      </rPr>
      <t xml:space="preserve"> = Ejecución presupuestal de acciones en gestión ambiental urbana, en el año t.</t>
    </r>
  </si>
  <si>
    <r>
      <t xml:space="preserve">CGAU </t>
    </r>
    <r>
      <rPr>
        <vertAlign val="subscript"/>
        <sz val="9"/>
        <color rgb="FF000000"/>
        <rFont val="Calibri"/>
        <family val="2"/>
        <scheme val="minor"/>
      </rPr>
      <t>it</t>
    </r>
    <r>
      <rPr>
        <sz val="9"/>
        <color rgb="FF000000"/>
        <rFont val="Calibri"/>
        <family val="2"/>
        <scheme val="minor"/>
      </rPr>
      <t xml:space="preserve"> = Compromisos correspondientes a la acción i en gestión ambiental urbana, en el año t.</t>
    </r>
  </si>
  <si>
    <r>
      <t xml:space="preserve">PDAGAU </t>
    </r>
    <r>
      <rPr>
        <vertAlign val="subscript"/>
        <sz val="9"/>
        <color rgb="FF000000"/>
        <rFont val="Calibri"/>
        <family val="2"/>
        <scheme val="minor"/>
      </rPr>
      <t>it</t>
    </r>
    <r>
      <rPr>
        <sz val="9"/>
        <color rgb="FF000000"/>
        <rFont val="Calibri"/>
        <family val="2"/>
        <scheme val="minor"/>
      </rPr>
      <t xml:space="preserve"> = Presupuesto definitivo a la acción i en gestión ambiental urbana, en el año t.</t>
    </r>
  </si>
  <si>
    <t>Número de acciones relacionadas con gestión ambiental urbana</t>
  </si>
  <si>
    <t>Ejecución física de las acciones relacionadas con la gestión ambiental urbana</t>
  </si>
  <si>
    <t>Ejecución presupuestal de acciones relacionadas con la gestión ambiental urbana (utilice tantas filas cuantas sean necesarias)</t>
  </si>
  <si>
    <t>Presupuesto inicial</t>
  </si>
  <si>
    <t>Compromisos / Ppto Def.</t>
  </si>
  <si>
    <t>Pagos / Compromisos</t>
  </si>
  <si>
    <t>Cuanto más cercano a cien por ciento, mayor es el cumplimiento de las metas que la autoridad ambiental se ha propuesto alcanzar en relación con la gestión ambiental urbana, en el marco del Plan de Acción de la Corporación.</t>
  </si>
  <si>
    <r>
      <t xml:space="preserve">Hoja Metodológica de referencia: MADS (2016). </t>
    </r>
    <r>
      <rPr>
        <i/>
        <sz val="9"/>
        <color rgb="FF000000"/>
        <rFont val="Calibri"/>
        <family val="2"/>
        <scheme val="minor"/>
      </rPr>
      <t>Hoja metodológica Ejecución de Acciones en Gestión Ambiental Urbana (Versión 1.0).</t>
    </r>
    <r>
      <rPr>
        <sz val="9"/>
        <color rgb="FF000000"/>
        <rFont val="Calibri"/>
        <family val="2"/>
        <scheme val="minor"/>
      </rPr>
      <t xml:space="preserve"> Ministerio de Ambiente y Desarrollo Sostenible MADS, DGOAT-SINA y DAASU.</t>
    </r>
  </si>
  <si>
    <t>Implementación del Programa Regional de Negocios Verdes por la autoridad ambiental</t>
  </si>
  <si>
    <t>Es el porcentaje de avance en la implementación de las acciones a cargo de la Corporación en el marco del Programa Regional de Negocios Verdes</t>
  </si>
  <si>
    <t>El indicador mide el cumplimiento de las metas, a cargo de la Autoridad Ambiental, en el marco del Plan Nacional de Negocios Verdes y el Plan Regional de Negocios Verdes. De esta forma contribuye a la implementación del Plan Nacional de Negocios Verdes y de la Estrategia Crecimiento Verde del Plan Nacional de Desarrollo 2014-2018</t>
  </si>
  <si>
    <r>
      <t xml:space="preserve"> </t>
    </r>
    <r>
      <rPr>
        <b/>
        <sz val="9"/>
        <color rgb="FF000000"/>
        <rFont val="Calibri"/>
        <family val="2"/>
        <scheme val="minor"/>
      </rPr>
      <t>Normatividad de soporte:</t>
    </r>
  </si>
  <si>
    <t>Decreto 1076 de 2016, Decreto Único Reglamentario.</t>
  </si>
  <si>
    <t>Ley 1753 de 2015, Plan Nacional de Desarrollo PND 2014-2018.</t>
  </si>
  <si>
    <t>Política Nacional de Producción y Consumo Sostenible.</t>
  </si>
  <si>
    <t>Plan Nacional de Negocios Verdes PNNV.</t>
  </si>
  <si>
    <t>Política Nacional para la Gestión Integral de la Biodiversidad y sus Servicios Ecosistémicos.</t>
  </si>
  <si>
    <t>Declaración de Crecimiento Verde de la Organización para la Cooperación y el Desarrollo Económico OCDE.</t>
  </si>
  <si>
    <t>Estrategia de Crecimiento Verde del Plan Nacional de Desarrollo.</t>
  </si>
  <si>
    <t>Metodología para la Implementación de los PRNV, elaborada y publicada con la Agencia de Cooperación Alemana- GIZ, en coordinación con el MADS.</t>
  </si>
  <si>
    <t>Programas Regionales de Negocios Verdes PRNV para las Regiones: Caribe, Pacifico, Central, Amazonia, y Orinoquia.</t>
  </si>
  <si>
    <t>Programa Nacional de Biocomercio Sostenible</t>
  </si>
  <si>
    <t>Guía de Verificación y Evaluación de Criterios de Negocios Verdes.</t>
  </si>
  <si>
    <t>https://www.minambiente.gov.co/index.php/ambientes-y-desarrollos-sostenibles/negocios-verdes-y-sostenibles</t>
  </si>
  <si>
    <t>Los Negocios Verdes y Sostenibles comprenden las actividades económicas en las que se ofrecen bienes o servicios que generan impactos ambientales positivos y que, además, incorporan buenas prácticas ambientales, sociales y económicas, con enfoque de ciclo de vida, contribuyendo a la conservación del ambiente como capital natural que soporta el desarrollo del territorio (Oficina de Negocios Verdes Sostenibles ONVS, 2014)</t>
  </si>
  <si>
    <t>El Objetivo 2 de la Estrategia Crecimiento Verde, incorporada en el PND 2014-2018, busca proteger y asegurar el uso sostenible del capital natural y mejorar la calidad y gobernanza ambiental. Para ello la Estrategia tiene como fin mejorar la calidad ambiental a partir del fortalecimiento del desempeño ambiental de los sectores productivos, buscando mejorar su competitividad; en la cual se inscribe la Meta Nacional Estratégica No. 13: Cinco (5) Programas Regionales de Negocios Verdes implementados para el aumento de la competitividad, a cargo de las CAR y la ONVS.</t>
  </si>
  <si>
    <r>
      <t xml:space="preserve">La implementación de los </t>
    </r>
    <r>
      <rPr>
        <b/>
        <sz val="9"/>
        <color rgb="FF000000"/>
        <rFont val="Calibri"/>
        <family val="2"/>
        <scheme val="minor"/>
      </rPr>
      <t>Programas Regionales de Negocios Verdes</t>
    </r>
    <r>
      <rPr>
        <sz val="9"/>
        <color rgb="FF000000"/>
        <rFont val="Calibri"/>
        <family val="2"/>
        <scheme val="minor"/>
      </rPr>
      <t>- PRNV se evaluará de acuerdo a tres (3) criterios:</t>
    </r>
  </si>
  <si>
    <t>1) Formulación de Planes de acción para la ejecución del PRNV en la jurisdicción de cada Autoridad Ambiental</t>
  </si>
  <si>
    <t>2) Conformación de la Ventanilla/Nodo de Negocios Verdes o realización de alianzas o acuerdos con otras instituciones.</t>
  </si>
  <si>
    <t>3) Contar con mínimo dos pilotos de Negocios Verdes verificados bajo los criterios descritos en el Plan Nacional de Negocios Verdes y PRNV</t>
  </si>
  <si>
    <t>Las principales acciones relacionadas con la ejecución Implementación del Programa Regional de Negocios Verdes por la autoridad ambiental son:</t>
  </si>
  <si>
    <r>
      <t>1)</t>
    </r>
    <r>
      <rPr>
        <sz val="7"/>
        <color rgb="FF000000"/>
        <rFont val="Times New Roman"/>
        <family val="1"/>
      </rPr>
      <t xml:space="preserve">      </t>
    </r>
    <r>
      <rPr>
        <sz val="9"/>
        <color rgb="FF000000"/>
        <rFont val="Calibri"/>
        <family val="2"/>
      </rPr>
      <t>Formulación de los Planes de Acción para la ejecución del Programa Regional de Negocios Verdes</t>
    </r>
  </si>
  <si>
    <r>
      <t>a)</t>
    </r>
    <r>
      <rPr>
        <sz val="7"/>
        <color rgb="FF000000"/>
        <rFont val="Times New Roman"/>
        <family val="1"/>
      </rPr>
      <t xml:space="preserve">      </t>
    </r>
    <r>
      <rPr>
        <sz val="9"/>
        <color rgb="FF000000"/>
        <rFont val="Calibri"/>
        <family val="2"/>
      </rPr>
      <t>Talleres de construcción del plan de trabajo, de la Corporación en el marco de la etapa de planeación.</t>
    </r>
  </si>
  <si>
    <r>
      <t>b)</t>
    </r>
    <r>
      <rPr>
        <sz val="7"/>
        <color rgb="FF000000"/>
        <rFont val="Times New Roman"/>
        <family val="1"/>
      </rPr>
      <t xml:space="preserve">      </t>
    </r>
    <r>
      <rPr>
        <sz val="9"/>
        <color rgb="FF000000"/>
        <rFont val="Calibri"/>
        <family val="2"/>
      </rPr>
      <t>Capacitación en criterios de Negocios Verdes</t>
    </r>
  </si>
  <si>
    <r>
      <t>c)</t>
    </r>
    <r>
      <rPr>
        <sz val="7"/>
        <color rgb="FF000000"/>
        <rFont val="Times New Roman"/>
        <family val="1"/>
      </rPr>
      <t xml:space="preserve">       </t>
    </r>
    <r>
      <rPr>
        <sz val="9"/>
        <color rgb="FF000000"/>
        <rFont val="Calibri"/>
        <family val="2"/>
      </rPr>
      <t>Levantamiento Línea Base de Negocios Verdes en la región</t>
    </r>
  </si>
  <si>
    <r>
      <t>2)</t>
    </r>
    <r>
      <rPr>
        <sz val="7"/>
        <color rgb="FF000000"/>
        <rFont val="Times New Roman"/>
        <family val="1"/>
      </rPr>
      <t xml:space="preserve">      </t>
    </r>
    <r>
      <rPr>
        <sz val="9"/>
        <color rgb="FF000000"/>
        <rFont val="Calibri"/>
        <family val="2"/>
      </rPr>
      <t>Conformación de la ventanilla o nodo de negocios verdes o realización de alianzas o acuerdos con otras instituciones para la implementación en la AA</t>
    </r>
  </si>
  <si>
    <r>
      <t>a)</t>
    </r>
    <r>
      <rPr>
        <sz val="7"/>
        <color rgb="FF000000"/>
        <rFont val="Times New Roman"/>
        <family val="1"/>
      </rPr>
      <t xml:space="preserve">      </t>
    </r>
    <r>
      <rPr>
        <sz val="9"/>
        <color rgb="FF000000"/>
        <rFont val="Calibri"/>
        <family val="2"/>
      </rPr>
      <t>Protocolización de la creación de la ventanilla o nodo de negocios verdes en la A.A.</t>
    </r>
  </si>
  <si>
    <r>
      <t>b)</t>
    </r>
    <r>
      <rPr>
        <sz val="7"/>
        <color rgb="FF000000"/>
        <rFont val="Times New Roman"/>
        <family val="1"/>
      </rPr>
      <t xml:space="preserve">      </t>
    </r>
    <r>
      <rPr>
        <sz val="9"/>
        <color rgb="FF000000"/>
        <rFont val="Calibri"/>
        <family val="2"/>
      </rPr>
      <t>Suscripción de alianzas o acuerdos publico privadas para la ejecución del PRNV (*)</t>
    </r>
  </si>
  <si>
    <r>
      <t>3)</t>
    </r>
    <r>
      <rPr>
        <sz val="7"/>
        <color rgb="FF000000"/>
        <rFont val="Times New Roman"/>
        <family val="1"/>
      </rPr>
      <t xml:space="preserve">      </t>
    </r>
    <r>
      <rPr>
        <sz val="9"/>
        <color rgb="FF000000"/>
        <rFont val="Calibri"/>
        <family val="2"/>
      </rPr>
      <t>Identificación de la línea base de negocios verdes verificados bajo la herramienta de negocios verdes (Guía de Verificación y Evaluación de Criterios de Negocios Verdes).</t>
    </r>
  </si>
  <si>
    <r>
      <t>a)</t>
    </r>
    <r>
      <rPr>
        <sz val="7"/>
        <color rgb="FF000000"/>
        <rFont val="Times New Roman"/>
        <family val="1"/>
      </rPr>
      <t xml:space="preserve">      </t>
    </r>
    <r>
      <rPr>
        <sz val="9"/>
        <color rgb="FF000000"/>
        <rFont val="Calibri"/>
        <family val="2"/>
      </rPr>
      <t>Al menos dos (2) pilotos verificados por la autoridad ambiental</t>
    </r>
  </si>
  <si>
    <r>
      <t>b)</t>
    </r>
    <r>
      <rPr>
        <sz val="7"/>
        <color rgb="FF000000"/>
        <rFont val="Times New Roman"/>
        <family val="1"/>
      </rPr>
      <t xml:space="preserve">      </t>
    </r>
    <r>
      <rPr>
        <sz val="9"/>
        <color rgb="FF000000"/>
        <rFont val="Calibri"/>
        <family val="2"/>
      </rPr>
      <t>Acompañamiento en la implementación de los planes de mejora</t>
    </r>
  </si>
  <si>
    <r>
      <t>4)</t>
    </r>
    <r>
      <rPr>
        <sz val="7"/>
        <color rgb="FF000000"/>
        <rFont val="Times New Roman"/>
        <family val="1"/>
      </rPr>
      <t xml:space="preserve">      </t>
    </r>
    <r>
      <rPr>
        <sz val="9"/>
        <color rgb="FF000000"/>
        <rFont val="Calibri"/>
        <family val="2"/>
      </rPr>
      <t>Comercialización:</t>
    </r>
  </si>
  <si>
    <r>
      <t>a)</t>
    </r>
    <r>
      <rPr>
        <sz val="7"/>
        <color rgb="FF000000"/>
        <rFont val="Times New Roman"/>
        <family val="1"/>
      </rPr>
      <t xml:space="preserve">      </t>
    </r>
    <r>
      <rPr>
        <sz val="9"/>
        <color rgb="FF000000"/>
        <rFont val="Calibri"/>
        <family val="2"/>
      </rPr>
      <t>Construcción de la estrategia regional de N.V. teniendo en cuenta la oferta y demanda regional.</t>
    </r>
  </si>
  <si>
    <r>
      <t>b)</t>
    </r>
    <r>
      <rPr>
        <sz val="7"/>
        <color rgb="FF000000"/>
        <rFont val="Times New Roman"/>
        <family val="1"/>
      </rPr>
      <t xml:space="preserve">      </t>
    </r>
    <r>
      <rPr>
        <sz val="9"/>
        <color rgb="FF000000"/>
        <rFont val="Calibri"/>
        <family val="2"/>
      </rPr>
      <t>Base de datos de N.V. verificados para alimentar el portafolio de bienes y servicios de negocios del MADS</t>
    </r>
  </si>
  <si>
    <r>
      <t>c)</t>
    </r>
    <r>
      <rPr>
        <sz val="7"/>
        <color rgb="FF000000"/>
        <rFont val="Times New Roman"/>
        <family val="1"/>
      </rPr>
      <t xml:space="preserve">       </t>
    </r>
    <r>
      <rPr>
        <sz val="9"/>
        <color rgb="FF000000"/>
        <rFont val="Calibri"/>
        <family val="2"/>
      </rPr>
      <t>Identificación, Participación y/o realización de ferias de promoción de los N.V.</t>
    </r>
  </si>
  <si>
    <t>* Nota: De manera consistente con el Indicador de Meta Nacional del Plan Nacional de Desarrollo "Programa Regional de Negocios Verdes". Este incluye en la "Metodología de Medición" la conformación de la ventanilla o nodo de negocios o la realización de alianzas o acuerdos con otras instituciones para la implementación del Programa Regional de Negocios Verdes en la autoridad ambiental. Adicionalmente, la publicación "Metodología para implementar el Programa Regional de Negocios Verdes" incluye el proceso de articulación de actores con el objetivo de iniciar el proceso con la autoridad ambiental y entes territoriales para la conformación de la Ventanilla/Nodo de NV o realización de alianzas o acuerdos con otras instituciones para la implementación del PRNV.</t>
  </si>
  <si>
    <t>El listado anterior es indicativo. Las acciones a ser realizadas por las Corporaciones deben corresponder a las acciones priorizadas en el respectivo PRNV.</t>
  </si>
  <si>
    <r>
      <t xml:space="preserve">IPRVAA </t>
    </r>
    <r>
      <rPr>
        <vertAlign val="subscript"/>
        <sz val="9"/>
        <color rgb="FF000000"/>
        <rFont val="Calibri"/>
        <family val="2"/>
        <scheme val="minor"/>
      </rPr>
      <t>t</t>
    </r>
    <r>
      <rPr>
        <sz val="9"/>
        <color rgb="FF000000"/>
        <rFont val="Calibri"/>
        <family val="2"/>
        <scheme val="minor"/>
      </rPr>
      <t xml:space="preserve"> = Implementación del Programa Regional de Negocios Verdes por la autoridad ambiental, en el tiempo t.</t>
    </r>
  </si>
  <si>
    <r>
      <t xml:space="preserve">EAPRNV </t>
    </r>
    <r>
      <rPr>
        <vertAlign val="subscript"/>
        <sz val="9"/>
        <color rgb="FF000000"/>
        <rFont val="Calibri"/>
        <family val="2"/>
        <scheme val="minor"/>
      </rPr>
      <t>1t</t>
    </r>
    <r>
      <rPr>
        <sz val="9"/>
        <color rgb="FF000000"/>
        <rFont val="Calibri"/>
        <family val="2"/>
        <scheme val="minor"/>
      </rPr>
      <t xml:space="preserve"> = Ejecución de acción 1 relacionada con el Programa Regional de Negocios Verdes, en el tiempo t.</t>
    </r>
  </si>
  <si>
    <r>
      <t xml:space="preserve">EAPRNV </t>
    </r>
    <r>
      <rPr>
        <vertAlign val="subscript"/>
        <sz val="9"/>
        <color rgb="FF000000"/>
        <rFont val="Calibri"/>
        <family val="2"/>
        <scheme val="minor"/>
      </rPr>
      <t>2t</t>
    </r>
    <r>
      <rPr>
        <sz val="9"/>
        <color rgb="FF000000"/>
        <rFont val="Calibri"/>
        <family val="2"/>
        <scheme val="minor"/>
      </rPr>
      <t xml:space="preserve"> = Ejecución de acción 2 relacionada con el Programa Regional de Negocios Verdes, en el tiempo t.</t>
    </r>
  </si>
  <si>
    <r>
      <t xml:space="preserve">EAPRNV </t>
    </r>
    <r>
      <rPr>
        <vertAlign val="subscript"/>
        <sz val="9"/>
        <color rgb="FF000000"/>
        <rFont val="Calibri"/>
        <family val="2"/>
        <scheme val="minor"/>
      </rPr>
      <t>nt</t>
    </r>
    <r>
      <rPr>
        <sz val="9"/>
        <color rgb="FF000000"/>
        <rFont val="Calibri"/>
        <family val="2"/>
        <scheme val="minor"/>
      </rPr>
      <t xml:space="preserve"> = Ejecución de acción N relacionada con el Programa Regional de Negocios Verdes, en el tiempo t.</t>
    </r>
  </si>
  <si>
    <r>
      <t>a = ponderador de EAPRNV</t>
    </r>
    <r>
      <rPr>
        <vertAlign val="subscript"/>
        <sz val="9"/>
        <color rgb="FF000000"/>
        <rFont val="Calibri"/>
        <family val="2"/>
        <scheme val="minor"/>
      </rPr>
      <t>1</t>
    </r>
  </si>
  <si>
    <r>
      <t>b = ponderador de EAPRNV</t>
    </r>
    <r>
      <rPr>
        <vertAlign val="subscript"/>
        <sz val="9"/>
        <color rgb="FF000000"/>
        <rFont val="Calibri"/>
        <family val="2"/>
        <scheme val="minor"/>
      </rPr>
      <t>2</t>
    </r>
  </si>
  <si>
    <r>
      <t>z = ponderador de EAPRNV</t>
    </r>
    <r>
      <rPr>
        <vertAlign val="subscript"/>
        <sz val="9"/>
        <color rgb="FF000000"/>
        <rFont val="Calibri"/>
        <family val="2"/>
        <scheme val="minor"/>
      </rPr>
      <t>n</t>
    </r>
  </si>
  <si>
    <t>a + b + c+…+z = 1</t>
  </si>
  <si>
    <t>Ejecución presupuestal de las acciones relacionadas con la Implementación del Programa Regional de Negocios Verdes por la autoridad ambiental</t>
  </si>
  <si>
    <r>
      <t xml:space="preserve">EAPRNV </t>
    </r>
    <r>
      <rPr>
        <vertAlign val="subscript"/>
        <sz val="9"/>
        <color rgb="FF000000"/>
        <rFont val="Calibri"/>
        <family val="2"/>
        <scheme val="minor"/>
      </rPr>
      <t>i</t>
    </r>
    <r>
      <rPr>
        <sz val="9"/>
        <color rgb="FF000000"/>
        <rFont val="Calibri"/>
        <family val="2"/>
        <scheme val="minor"/>
      </rPr>
      <t xml:space="preserve"> = Ejecución presupuestal de la acción </t>
    </r>
    <r>
      <rPr>
        <i/>
        <sz val="9"/>
        <color rgb="FF000000"/>
        <rFont val="Calibri"/>
        <family val="2"/>
        <scheme val="minor"/>
      </rPr>
      <t>i</t>
    </r>
    <r>
      <rPr>
        <sz val="9"/>
        <color rgb="FF000000"/>
        <rFont val="Calibri"/>
        <family val="2"/>
        <scheme val="minor"/>
      </rPr>
      <t xml:space="preserve"> asociada al Programa Regional de Negocios Verdes por la autoridad ambiental, en el año t.</t>
    </r>
  </si>
  <si>
    <r>
      <t xml:space="preserve">CAPRNV </t>
    </r>
    <r>
      <rPr>
        <vertAlign val="subscript"/>
        <sz val="9"/>
        <color rgb="FF000000"/>
        <rFont val="Calibri"/>
        <family val="2"/>
        <scheme val="minor"/>
      </rPr>
      <t>it</t>
    </r>
    <r>
      <rPr>
        <sz val="9"/>
        <color rgb="FF000000"/>
        <rFont val="Calibri"/>
        <family val="2"/>
        <scheme val="minor"/>
      </rPr>
      <t xml:space="preserve"> = Compromisos correspondientes a la acción i en el marco del Programa Regional de Negocios Verdes, en el año t.</t>
    </r>
  </si>
  <si>
    <r>
      <t xml:space="preserve">PDAPRNV </t>
    </r>
    <r>
      <rPr>
        <vertAlign val="subscript"/>
        <sz val="9"/>
        <color rgb="FF000000"/>
        <rFont val="Calibri"/>
        <family val="2"/>
        <scheme val="minor"/>
      </rPr>
      <t>it</t>
    </r>
    <r>
      <rPr>
        <sz val="9"/>
        <color rgb="FF000000"/>
        <rFont val="Calibri"/>
        <family val="2"/>
        <scheme val="minor"/>
      </rPr>
      <t xml:space="preserve"> = Presupuesto definitivo a la acción i en el marco del Programa Regional de Negocios Verdes, en el año t.</t>
    </r>
  </si>
  <si>
    <t>Número de acciones relacionadas con la implementación del Programa Regional de Negocios Verdes por la autoridad ambiental</t>
  </si>
  <si>
    <t>Presupuesto definitivo</t>
  </si>
  <si>
    <t>Ejecución física y financiera de acciones relacionadas con la implementación del Programa Regional de Negocios Verdes por la autoridad ambiental</t>
  </si>
  <si>
    <t>Participación en ferias</t>
  </si>
  <si>
    <t>(*) Nombre de la acción, actividad o proyecto en el Plan de Acción de la Corporación</t>
  </si>
  <si>
    <t>Cálculo de la ejecución física y financiera de acciones relacionadas con la implementación del Programa Regional de Negocios Verdes por la autoridad ambiental</t>
  </si>
  <si>
    <t>Avance Físico</t>
  </si>
  <si>
    <t>Ejecución Anual</t>
  </si>
  <si>
    <t>El indicador hace seguimiento a la contribución de las CAR a la ejecución del Plan Nacional de Negocios Verdes y el Plan Regional de Negocios Verdes. Cuanto más cercano a cien por ciento, mayor es el cumplimiento de las metas, a cargo de la Autoridad Ambiental, en el marco del Plan Nacional de Negocios Verdes y el Plan Regional de Negocios Verdes.</t>
  </si>
  <si>
    <r>
      <t>Hoja Metodológica de referencia:</t>
    </r>
    <r>
      <rPr>
        <sz val="9"/>
        <color rgb="FF000000"/>
        <rFont val="Calibri"/>
        <family val="2"/>
        <scheme val="minor"/>
      </rPr>
      <t xml:space="preserve"> MADS (2016). </t>
    </r>
    <r>
      <rPr>
        <i/>
        <sz val="9"/>
        <color rgb="FF000000"/>
        <rFont val="Calibri"/>
        <family val="2"/>
        <scheme val="minor"/>
      </rPr>
      <t>Hoja metodológica Implementación del programa regional de negocios verdes por la autoridad ambiental (Versión 1.0).</t>
    </r>
    <r>
      <rPr>
        <sz val="9"/>
        <color rgb="FF000000"/>
        <rFont val="Calibri"/>
        <family val="2"/>
        <scheme val="minor"/>
      </rPr>
      <t xml:space="preserve"> Ministerio de Ambiente y Desarrollo Sostenible MADS, DGOAT-SINA y ONV.</t>
    </r>
  </si>
  <si>
    <t>Tiempo promedio de trámite para la resolución de autorizaciones ambientales otorgadas por la corporación</t>
  </si>
  <si>
    <t>El tiempo promedio de trámite o procedimiento para la resolución de autorizaciones ambientales otorgadas por las autoridades ambientales es el resultado de la suma de los tiempos de cada trámite (licencias ambientales, concesiones de agua, permisos de aprovechamiento forestal, permisos de emisiones atmosféricas y permisos de vertimiento de agua), dividido en el número de trámites resueltos por la autoridad ambiental.</t>
  </si>
  <si>
    <t xml:space="preserve">Se entiende por tiempo efectivo, el periodo de tiempo en días que dura el proceso en manos de la Corporación, que resulta de descontar del tiempo total desde la radicación de la solicitud hasta la manifestación final de la autoridad ambiental, descontado el tiempo utilizado por el peticionario para atender los actos de trámites expedidos en el proceso. </t>
  </si>
  <si>
    <t>El indicador mide los cambios en la eficiencia por parte de la autoridad ambiental en la resolución de las solicitudes de autorizaciones ambientales (licencias ambientales, concesiones de agua, permisos de aprovechamiento forestal, permisos de emisiones atmosféricas y permisos de vertimiento de agua).</t>
  </si>
  <si>
    <t>Resolución 2202 de 2006.</t>
  </si>
  <si>
    <t>Licencias ambientales: Decreto 1076 de 2015</t>
  </si>
  <si>
    <t>Concesiones de agua: Decreto Ley 2811 de 1974, Decreto 1076 de 2015</t>
  </si>
  <si>
    <t>Permisos de vertimiento de agua: Decreto Ley 2811 de 1974, Decreto 1076 de 2015.</t>
  </si>
  <si>
    <t>Permisos de emisión: Decreto Ley 2811 de 1974, Decreto 1076 de 2015, Resolución 619 de 1997 y sus modificaciones, Resolución 909 de 2008 y sus modificaciones.</t>
  </si>
  <si>
    <t>Permisos de aprovechamiento forestal: Decreto Ley 2811 de 1974, Decreto 1076 de 2015, entre otros.</t>
  </si>
  <si>
    <r>
      <t>Las autorizaciones administrativas son un acto administrativo cualquiera que sea su denominación específica, por el cual en uso de una potestad de intervención legalmente atribuida a la Administración, se permite a los particulares el ejercicio de una actividad privada, previa comprobación de su adecuación al ordenamiento jurídico y valoración del interés afectado</t>
    </r>
    <r>
      <rPr>
        <i/>
        <sz val="9"/>
        <color rgb="FF000000"/>
        <rFont val="Calibri"/>
        <family val="2"/>
        <scheme val="minor"/>
      </rPr>
      <t xml:space="preserve">, </t>
    </r>
    <r>
      <rPr>
        <sz val="9"/>
        <color rgb="FF000000"/>
        <rFont val="Calibri"/>
        <family val="2"/>
        <scheme val="minor"/>
      </rPr>
      <t>las cuales en el caso ambiental se traducen en permisos, concesiones, asociaciones y licencias ambientales que permiten el uso, utilización o aprovechamiento de los recursos naturales renovables o la ejecución de proyectos, obras o actividades que puedan producir deterioro grave a los recursos naturales renovables o al medio ambiente o introducir modificaciones considerables o notorias al paisaje.</t>
    </r>
  </si>
  <si>
    <t>A manera de ejemplo encontramos: concesiones de agua, permisos para la exploración y ocupación de cauces, playas y lechos, permisos de aprovechamiento forestal, permiso de emisiones atmosféricas y otros.</t>
  </si>
  <si>
    <t>La Ley 99 de 1993 en su artículo 70 establece como todo trámite ambiental requiere auto de iniciación para comenzar la evaluación hasta la fecha de emisión del acto administrativo definitivo que resuelve la solicitud.</t>
  </si>
  <si>
    <t>Sin embargo, cada autorización administrativa posee un procedimiento propio. El tiempo promedio de trámite para la evaluación de las licencias ambientales, permisos y autorizaciones otorgadas por las autoridades ambientales, se refiere al tiempo efectivo utilizado por la Corporación para manifestarse de manera positiva o negativa sobre la solicitud de licenciamiento o aprovechamiento de recursos, a partir de la fecha de radicación de la solicitud.</t>
  </si>
  <si>
    <t>Se debe entender como tiempo efectivo, el periodo de tiempo en días que dura el proceso en manos de la autoridad ambiental, que resulta de descontar del tiempo total desde la radicación de la solicitud hasta la manifestación final de la autoridad ambiental, descontado el tiempo utilizado por el peticionario para atender los actos de trámites expedidos en el proceso. En los casos de audiencias Públicas o consultas previas también se suspenden términos, los cuales se descuentan del tiempo efectivo de la evaluación.</t>
  </si>
  <si>
    <t xml:space="preserve">En el cálculo de las Solicitudes con vencimiento de términos dentro del periodo de reporte (Denominador del indicador), no se contabilizan las solicitudes que debieron ser resueltas en periodos de reporte anteriores, o que se resuelven antes de términos en los periodos anteriores del periodo de reporte. </t>
  </si>
  <si>
    <t>De igual forma, se aplicará la misma lógica para las solicitudes de concesiones de agua, permisos de aprovechamiento forestal, emisiones atmosféricas y permisos de vertimiento.</t>
  </si>
  <si>
    <t>Tx: Tiempo promedio efectivo de duración del trámite x.</t>
  </si>
  <si>
    <t>Ti: Tiempo de duración de cada trámite i en la categoría x.</t>
  </si>
  <si>
    <t>x = Licencias ambientales, concesiones de agua, permisos de aprovechamiento forestal, permisos de emisiones atmosféricas y permisos de vertimiento de agua.</t>
  </si>
  <si>
    <t>n: Número de trámites atendidos de cada una de las categorías analizadas (Licencia ambiental, concesión de agua, permiso de vertimiento de agua, aprovechamiento forestal, permiso de emisión).</t>
  </si>
  <si>
    <r>
      <t>Definición de las variables del indicador</t>
    </r>
    <r>
      <rPr>
        <sz val="9"/>
        <color rgb="FF000000"/>
        <rFont val="Calibri"/>
        <family val="2"/>
        <scheme val="minor"/>
      </rPr>
      <t>: Los procesos a analizar corresponderán a los trámites más comunes que se adelantan ante la autoridad ambiental, determinando su tiempo de duración así:</t>
    </r>
  </si>
  <si>
    <t>TL.A. = Tiempo efectivo de duración del trámite de otorgamiento de licencias ambientales</t>
  </si>
  <si>
    <t>TC.A. = Tiempo efectivo de duración del trámite de otorgamiento de una concesión de agua</t>
  </si>
  <si>
    <t>T.P.V. = Tiempo efectivo de duración del trámite de otorgamiento de un permiso de vertimiento</t>
  </si>
  <si>
    <t>T.A.F. = Tiempo efectivo de duración del trámite de otorgamiento de un aprovechamiento Forestal</t>
  </si>
  <si>
    <t xml:space="preserve">T.P.E. = Tiempo efectivo de duración del trámite de otorgamiento de un permiso de emisión </t>
  </si>
  <si>
    <t>Licencias ambientales</t>
  </si>
  <si>
    <t>TL.A. Tiempo efectivo de duración del trámite de otorgamiento de licencias ambientales (número de días)</t>
  </si>
  <si>
    <t xml:space="preserve">N L.A.: Número de solicitudes de licencia ambiental atendidos </t>
  </si>
  <si>
    <t>Tx L.A. Tiempo promedio efectivo de duración del trámite de licencias ambientales</t>
  </si>
  <si>
    <t>Concesiones de agua</t>
  </si>
  <si>
    <t xml:space="preserve">N C.A.S.: Número de solicitudes de concesión de agua recibidas en el periodo. </t>
  </si>
  <si>
    <t>Tx C.A.S. Tiempo promedio efectivo de duración del trámite de Concesiones de Agua.</t>
  </si>
  <si>
    <t>Permisos de vertimiento de agua</t>
  </si>
  <si>
    <t>TP.V. Tiempo efectivo de duración del trámite de otorgamiento de un permiso de vertimiento (número de días)</t>
  </si>
  <si>
    <t>N P.V.: Número de solicitudes de permisos de vertimiento recibidas en el periodo.</t>
  </si>
  <si>
    <t>Tx P.V. Tiempo promedio efectivo de duración del trámite de otorgamiento de un permiso de vertimiento.</t>
  </si>
  <si>
    <t>Permisos de aprovechamiento forestal</t>
  </si>
  <si>
    <t>N A.F. Número de solicitudes de permisos de aprovechamiento forestal recibidas en el periodo</t>
  </si>
  <si>
    <t xml:space="preserve">Tx A.F. Tiempo promedio efectivo de duración del trámite de otorgamiento de un permiso de aprovechamiento forestal </t>
  </si>
  <si>
    <t>Permisos de emisiones atmosféricas</t>
  </si>
  <si>
    <t xml:space="preserve">TP.E. Tiempo efectivo de duración del trámite de otorgamiento de un permiso de emisión (número de días) </t>
  </si>
  <si>
    <t>N P.E. Número de solicitudes de permisos de emisiones atmosféricas recibidas en el periodo</t>
  </si>
  <si>
    <t>Tx P.E. Tiempo promedio efectivo de duración del trámite de otorgamiento de un permiso de emisión</t>
  </si>
  <si>
    <t>Cuanto menor sea el tiempo promedio, teniendo como referencia los tiempos establecidos en la normativa, mayor es el cumplimiento por parte de la autoridad ambiental en la eficiencia en la resolución de las solicitudes de autorizaciones ambientales (licencias ambientales, concesiones de agua, permisos de aprovechamiento forestal, permisos de emisiones atmosféricas y permisos de vertimiento de agua).</t>
  </si>
  <si>
    <r>
      <t>Hoja Metodológica de referencia:</t>
    </r>
    <r>
      <rPr>
        <sz val="9"/>
        <color rgb="FF000000"/>
        <rFont val="Calibri"/>
        <family val="2"/>
        <scheme val="minor"/>
      </rPr>
      <t xml:space="preserve"> MADS (2016). </t>
    </r>
    <r>
      <rPr>
        <b/>
        <i/>
        <sz val="9"/>
        <color rgb="FF000000"/>
        <rFont val="Calibri"/>
        <family val="2"/>
        <scheme val="minor"/>
      </rPr>
      <t>Tiempo promedio de trámite para la resolución de autorizaciones ambientales otorgadas por la corporación</t>
    </r>
    <r>
      <rPr>
        <i/>
        <sz val="9"/>
        <color rgb="FF000000"/>
        <rFont val="Calibri"/>
        <family val="2"/>
        <scheme val="minor"/>
      </rPr>
      <t xml:space="preserve"> (Versión 1.0).</t>
    </r>
    <r>
      <rPr>
        <sz val="9"/>
        <color rgb="FF000000"/>
        <rFont val="Calibri"/>
        <family val="2"/>
        <scheme val="minor"/>
      </rPr>
      <t xml:space="preserve"> Ministerio de Ambiente y Desarrollo Sostenible MADS, DGOAT-SINA.</t>
    </r>
  </si>
  <si>
    <t>Porcentaje de autorizaciones ambientales con seguimiento</t>
  </si>
  <si>
    <t xml:space="preserve"> </t>
  </si>
  <si>
    <t>Es la relación entre el número de Autorizaciones ambientales con seguimiento con respecto a la meta de seguimiento de dichas autorizaciones por parte de la autoridad ambiental.</t>
  </si>
  <si>
    <t>El indicador mide el cumplimiento de las metas que la autoridad ambiental se ha propuesto alcanzar en relación con el seguimiento a las autorizaciones ambientales (Licencias ambientales, concesiones de agua, permisos de aprovechamiento forestal, permisos de emisiones atmosféricas y permisos de vertimiento de agua).</t>
  </si>
  <si>
    <t>Resolución 619 de 1997 modificada por la Res 1377 de 2015 y Resolución 909 de 2008 y sus modificaciones.</t>
  </si>
  <si>
    <r>
      <t>Las autorizaciones administrativas son</t>
    </r>
    <r>
      <rPr>
        <i/>
        <sz val="9"/>
        <color rgb="FF000000"/>
        <rFont val="Calibri"/>
        <family val="2"/>
        <scheme val="minor"/>
      </rPr>
      <t xml:space="preserve"> </t>
    </r>
    <r>
      <rPr>
        <sz val="9"/>
        <color rgb="FF000000"/>
        <rFont val="Calibri"/>
        <family val="2"/>
        <scheme val="minor"/>
      </rPr>
      <t>un acto administrativo cualquiera que sea su denominación específica, por el cual en uso de una potestad de intervención legalmente atribuida a la Administración, se permite a los particulares el ejercicio de una actividad privada, previa comprobación de su adecuación al ordenamiento jurídico y valoración del interés afectado</t>
    </r>
    <r>
      <rPr>
        <i/>
        <sz val="9"/>
        <color rgb="FF000000"/>
        <rFont val="Calibri"/>
        <family val="2"/>
        <scheme val="minor"/>
      </rPr>
      <t xml:space="preserve">, </t>
    </r>
    <r>
      <rPr>
        <sz val="9"/>
        <color rgb="FF000000"/>
        <rFont val="Calibri"/>
        <family val="2"/>
        <scheme val="minor"/>
      </rPr>
      <t>las cuales en el caso ambiental se traducen en permisos, concesiones, asociaciones y licencias ambientales que permiten el uso, utilización o aprovechamiento de los recursos naturales renovables o la ejecución de proyectos, obras o actividades que puedan producir deterioro grave a los recursos naturales renovables o al medio ambiente o introducir modificaciones considerables o notorias al paisaje. A manera de ejemplo encontramos: concesiones de agua, permisos para la exploración y ocupación de cauces, playas y lechos, permisos de aprovechamiento forestal, permiso de emisiones atmosféricas y otros.</t>
    </r>
  </si>
  <si>
    <t>Una vez otorgadas las autorizaciones administrativas corresponde a la autoridad ambiental realizar su respectivo seguimiento. A manera de ejemplo en licencias ambientales la autoridad ambiental define una priorización de los sectores y/o de los proyectos, obras o actividades licenciados, durante su construcción, operación, desmantelamiento o abandono, que son objeto de control y seguimiento. Esto con el fin de: 1. Verificar la implementación del Plan de Manejo Ambiental, seguimiento y monitoreo, y de contingencia, así como la eficiencia y eficacia de las medidas de manejo implementadas; 2. Constatar y exigir el cumplimiento de todos los términos, obligaciones y condiciones que se deriven de la licencia ambiental o Plan de Manejo Ambiental; 3. Corroborar cómo es el comportamiento real del medio ambiente y de los recursos naturales frente al desarrollo del proyecto; y 4. Evaluar el desempeño ambiental considerando las medidas de manejo establecidas para controlar los impactos ambientales.</t>
  </si>
  <si>
    <t>En el desarrollo de dicha gestión, la autoridad ambiental puede realizar entre otras actividades, visitas al lugar donde se desarrolla el proyecto, hacer requerimientos de información, corroborar, técnicamente o a través de pruebas, los resultados de los monitoreos realizados por el beneficiario de la licencia.</t>
  </si>
  <si>
    <t>Así mismo, para las concesiones de agua, los permisos de aprovechamiento forestal, las emisiones atmosféricas y los permisos de vertimiento de agua, la Corporación una meta cuatrienal y para cada una de las vigencias.</t>
  </si>
  <si>
    <r>
      <t xml:space="preserve">PTAACS </t>
    </r>
    <r>
      <rPr>
        <vertAlign val="subscript"/>
        <sz val="9"/>
        <color rgb="FF000000"/>
        <rFont val="Calibri"/>
        <family val="2"/>
        <scheme val="minor"/>
      </rPr>
      <t>t</t>
    </r>
    <r>
      <rPr>
        <sz val="9"/>
        <color rgb="FF000000"/>
        <rFont val="Calibri"/>
        <family val="2"/>
        <scheme val="minor"/>
      </rPr>
      <t xml:space="preserve"> = Porcentaje total de autorizaciones ambientales con seguimiento, en el tiempo t.</t>
    </r>
  </si>
  <si>
    <r>
      <t xml:space="preserve">PAACS </t>
    </r>
    <r>
      <rPr>
        <vertAlign val="subscript"/>
        <sz val="9"/>
        <color rgb="FF000000"/>
        <rFont val="Calibri"/>
        <family val="2"/>
        <scheme val="minor"/>
      </rPr>
      <t>i</t>
    </r>
    <r>
      <rPr>
        <sz val="9"/>
        <color rgb="FF000000"/>
        <rFont val="Calibri"/>
        <family val="2"/>
        <scheme val="minor"/>
      </rPr>
      <t xml:space="preserve"> = Porcentaje de la autorización ambiental </t>
    </r>
    <r>
      <rPr>
        <i/>
        <sz val="9"/>
        <color rgb="FF000000"/>
        <rFont val="Calibri"/>
        <family val="2"/>
        <scheme val="minor"/>
      </rPr>
      <t>i</t>
    </r>
    <r>
      <rPr>
        <sz val="9"/>
        <color rgb="FF000000"/>
        <rFont val="Calibri"/>
        <family val="2"/>
        <scheme val="minor"/>
      </rPr>
      <t xml:space="preserve"> con seguimiento, en el tiempo t.</t>
    </r>
  </si>
  <si>
    <t>i = Licencias ambientales, concesiones de agua, permisos de aprovechamiento forestal, permisos de emisiones atmosféricas y permisos de vertimiento de agua.</t>
  </si>
  <si>
    <r>
      <t>a</t>
    </r>
    <r>
      <rPr>
        <vertAlign val="subscript"/>
        <sz val="9"/>
        <color rgb="FF000000"/>
        <rFont val="Calibri"/>
        <family val="2"/>
        <scheme val="minor"/>
      </rPr>
      <t xml:space="preserve">i = </t>
    </r>
    <r>
      <rPr>
        <sz val="9"/>
        <color rgb="FF000000"/>
        <rFont val="Calibri"/>
        <family val="2"/>
        <scheme val="minor"/>
      </rPr>
      <t>Ponderación correspondiente a cada autorización ambiental (licencias ambientales, las concesiones de agua, los permisos de aprovechamiento forestal, los permisos de emisiones atmosféricas y los permisos de vertimiento de agua y PSMV). La suma de los ponderadores es igual a 1.</t>
    </r>
  </si>
  <si>
    <t>Porcentaje de seguimiento de cada autorización ambiental</t>
  </si>
  <si>
    <r>
      <t xml:space="preserve">PAACS </t>
    </r>
    <r>
      <rPr>
        <vertAlign val="subscript"/>
        <sz val="9"/>
        <color rgb="FF000000"/>
        <rFont val="Calibri"/>
        <family val="2"/>
        <scheme val="minor"/>
      </rPr>
      <t>it</t>
    </r>
    <r>
      <rPr>
        <sz val="9"/>
        <color rgb="FF000000"/>
        <rFont val="Calibri"/>
        <family val="2"/>
        <scheme val="minor"/>
      </rPr>
      <t xml:space="preserve"> = Porcentaje de la autorización ambiental </t>
    </r>
    <r>
      <rPr>
        <i/>
        <sz val="9"/>
        <color rgb="FF000000"/>
        <rFont val="Calibri"/>
        <family val="2"/>
        <scheme val="minor"/>
      </rPr>
      <t>i</t>
    </r>
    <r>
      <rPr>
        <sz val="9"/>
        <color rgb="FF000000"/>
        <rFont val="Calibri"/>
        <family val="2"/>
        <scheme val="minor"/>
      </rPr>
      <t xml:space="preserve"> con seguimiento, en el tiempo t.</t>
    </r>
  </si>
  <si>
    <r>
      <t xml:space="preserve">AACS </t>
    </r>
    <r>
      <rPr>
        <vertAlign val="subscript"/>
        <sz val="9"/>
        <color rgb="FF000000"/>
        <rFont val="Calibri"/>
        <family val="2"/>
        <scheme val="minor"/>
      </rPr>
      <t>it</t>
    </r>
    <r>
      <rPr>
        <sz val="9"/>
        <color rgb="FF000000"/>
        <rFont val="Calibri"/>
        <family val="2"/>
        <scheme val="minor"/>
      </rPr>
      <t xml:space="preserve"> = Número de autorizaciones ambientales</t>
    </r>
    <r>
      <rPr>
        <i/>
        <sz val="9"/>
        <color rgb="FF000000"/>
        <rFont val="Calibri"/>
        <family val="2"/>
        <scheme val="minor"/>
      </rPr>
      <t xml:space="preserve"> i</t>
    </r>
    <r>
      <rPr>
        <sz val="9"/>
        <color rgb="FF000000"/>
        <rFont val="Calibri"/>
        <family val="2"/>
        <scheme val="minor"/>
      </rPr>
      <t xml:space="preserve"> con seguimiento, en el tiempo t.</t>
    </r>
  </si>
  <si>
    <r>
      <t xml:space="preserve">MAACS </t>
    </r>
    <r>
      <rPr>
        <vertAlign val="subscript"/>
        <sz val="9"/>
        <color rgb="FF000000"/>
        <rFont val="Calibri"/>
        <family val="2"/>
        <scheme val="minor"/>
      </rPr>
      <t>it</t>
    </r>
    <r>
      <rPr>
        <sz val="9"/>
        <color rgb="FF000000"/>
        <rFont val="Calibri"/>
        <family val="2"/>
        <scheme val="minor"/>
      </rPr>
      <t xml:space="preserve"> = Meta de autorizaciones ambientales </t>
    </r>
    <r>
      <rPr>
        <i/>
        <sz val="9"/>
        <color rgb="FF000000"/>
        <rFont val="Calibri"/>
        <family val="2"/>
        <scheme val="minor"/>
      </rPr>
      <t>i</t>
    </r>
    <r>
      <rPr>
        <sz val="9"/>
        <color rgb="FF000000"/>
        <rFont val="Calibri"/>
        <family val="2"/>
        <scheme val="minor"/>
      </rPr>
      <t xml:space="preserve"> con seguimiento, en el tiempo t.</t>
    </r>
  </si>
  <si>
    <t>La meta de número de autorizaciones ambientales sujetos a seguimiento es establecida por la Corporación tanto para el cuatrienio como para cada una de las vigencias.</t>
  </si>
  <si>
    <t>Seguimiento de licencias ambientales</t>
  </si>
  <si>
    <t>Número total de licencias ambientales priorizadas por la Corporación para hacer seguimiento en el cuatrienio:</t>
  </si>
  <si>
    <t>Meta de licencias ambientales con seguimiento (MLACS)</t>
  </si>
  <si>
    <t>Número de licencias ambientales con seguimiento (LACS)</t>
  </si>
  <si>
    <t>Porcentaje de licencias ambientales con seguimiento (PLACS)</t>
  </si>
  <si>
    <t>Detalle de seguimiento a licencias ambientales en la vigencia</t>
  </si>
  <si>
    <t>Sector</t>
  </si>
  <si>
    <t>Número de licencias por sector</t>
  </si>
  <si>
    <t>Número de expedientes activos</t>
  </si>
  <si>
    <t>Meta de seguimiento (número)</t>
  </si>
  <si>
    <t>Licencias con seguimiento</t>
  </si>
  <si>
    <t>(número)</t>
  </si>
  <si>
    <t>Seguimiento de concesiones de agua</t>
  </si>
  <si>
    <t>Valor</t>
  </si>
  <si>
    <t>Seguimiento de concesiones de agua (número)</t>
  </si>
  <si>
    <t>Meta de número de concesiones de agua con seguimiento (MCACS)</t>
  </si>
  <si>
    <t>Número de concesiones de agua con seguimiento (CACS)</t>
  </si>
  <si>
    <t>Porcentaje de concesiones de agua con seguimiento (PCACS)</t>
  </si>
  <si>
    <t>Seguimiento de concesiones de agua (metros cúbicos / segundo)</t>
  </si>
  <si>
    <t>Meta de concesiones de agua con seguimiento (MCACSMC)</t>
  </si>
  <si>
    <t>Concesiones de agua con seguimiento (CACSMC)</t>
  </si>
  <si>
    <t>Porcentaje de concesiones de agua con seguimiento (PCACSMC)</t>
  </si>
  <si>
    <t>Seguimiento de permisos de vertimiento de agua (número)</t>
  </si>
  <si>
    <t>Meta de número de permisos de vertimiento de agua con seguimiento (MVACS)</t>
  </si>
  <si>
    <t>Número de permisos de vertimiento de agua con seguimiento (VACS)</t>
  </si>
  <si>
    <t>Porcentaje de permisos de vertimiento de agua con seguimiento (PVACS)</t>
  </si>
  <si>
    <t>Seguimiento de permisos de vertimiento de agua (metros cúbicos / segundo) y PSMV</t>
  </si>
  <si>
    <t>Meta de permisos de vertimiento de agua con seguimiento (MVACSMC)</t>
  </si>
  <si>
    <t>Permisos de vertimiento de agua con seguimiento (VACSMC)</t>
  </si>
  <si>
    <t>Porcentaje de permisos de vertimiento de agua con seguimiento (PVACSMC)</t>
  </si>
  <si>
    <t>Seguimiento de permisos de aprovechamiento forestal</t>
  </si>
  <si>
    <t>Seguimiento de permisos de aprovechamiento forestal (número)</t>
  </si>
  <si>
    <t>Meta de número de permisos de aprovechamiento forestal con seguimiento (MPAFCS)</t>
  </si>
  <si>
    <t>Número de permisos de aprovechamiento forestal con seguimiento (PAFCS)</t>
  </si>
  <si>
    <t>Porcentaje de permisos de aprovechamiento forestal con seguimiento (PPAFCS)</t>
  </si>
  <si>
    <t>Seguimiento de permisos de aprovechamiento forestal (metros cúbicos)</t>
  </si>
  <si>
    <t>Meta de permisos de aprovechamiento forestal con seguimiento (MPACFSMC)</t>
  </si>
  <si>
    <t>Permisos de aprovechamiento forestal con seguimiento (PAFCSMC)</t>
  </si>
  <si>
    <t>Porcentaje de permisos de aprovechamiento forestal con seguimiento (PPAFCSMC)</t>
  </si>
  <si>
    <t>Seguimiento de permisos de emisiones atmosféricas</t>
  </si>
  <si>
    <t>Seguimiento de permisos de emisiones atmosféricas (número)</t>
  </si>
  <si>
    <t>Meta de número de permisos de emisiones atmosféricas con seguimiento (MPEACS)</t>
  </si>
  <si>
    <t>Número de permisos de emisiones atmosféricas con seguimiento (EACS)</t>
  </si>
  <si>
    <t>Porcentaje de permisos de emisiones atmosféricas con seguimiento (PEACS)</t>
  </si>
  <si>
    <t>Cuanto más cercano a cien por ciento, mayor es el cumplimiento de las metas que la autoridad ambiental se ha propuesto alcanzar en relación con el seguimiento a las autorizaciones ambientales (licencias ambientales, concesiones de agua, aprovechamiento forestal, emisiones atmosféricas y permisos de vertimiento).</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</si>
  <si>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autorizaciones ambientales con seguimiento (Versión 1.0).</t>
    </r>
    <r>
      <rPr>
        <sz val="9"/>
        <color rgb="FF000000"/>
        <rFont val="Calibri"/>
        <family val="2"/>
        <scheme val="minor"/>
      </rPr>
      <t xml:space="preserve"> Ministerio de Ambiente y Desarrollo Sostenible, DGOAT-SINA.</t>
    </r>
  </si>
  <si>
    <t>Porcentaje de Procesos Sancionatorios Resueltos</t>
  </si>
  <si>
    <t>Es la relación entre el número de actos administrativos de determinación de la responsabilidad o de cesación de procedimiento expedidos, con respecto al número de actos administrativos de iniciación de procedimiento sancionatorio expedidos por la autoridad ambiental.</t>
  </si>
  <si>
    <r>
      <t>E</t>
    </r>
    <r>
      <rPr>
        <sz val="9"/>
        <color rgb="FF000000"/>
        <rFont val="Calibri"/>
        <family val="2"/>
        <scheme val="minor"/>
      </rPr>
      <t>l indicador mide el cumplimiento por parte de la autoridad ambiental en la gestión de los procesos sancionatorios abiertos, con relación a la ocurrencia de infracciones en materia ambiental en su jurisdicción.</t>
    </r>
  </si>
  <si>
    <t>Ley 99 de 1993, Ley Marco del Medio Ambiente</t>
  </si>
  <si>
    <t>Ley 1333 de 2009, Procedimiento sancionatorio ambiental</t>
  </si>
  <si>
    <t>La autoridad ambiental está en la obligación de establecer la ocurrencia o no de presuntas infracciones ambientales y de determinar la existencia o no de responsabilidad, y en caso afirmativo, sancionar a los responsables de manera oportuna, de tal manera que se garantice el cumplimiento de la normatividad ambiental vigente en las respectivas jurisdicciones de las autoridades ambientales.</t>
  </si>
  <si>
    <t>De conformidad con lo establecido en el artículo 5° de la Ley 1333 de 2009, se considera infracción en materia ambiental “toda acción u omisión que constituya violación de las normas contenidas en el Código de Recursos Naturales Renovables, Decreto-ley 2811 de 1974, en la Ley 99 de 1993, en la Ley 165 de 1994 y en las demás disposiciones ambientales vigentes en que las sustituyan o modifiquen y en los actos administrativos emanados de la autoridad ambiental competente. Será también constitutivo de infracción ambiental la comisión de un daño al medio ambiente, con las mismas condiciones que para configurar la responsabilidad civil extracontractual establece el Código Civil y la legislación complementaria, a saber: El daño, el hecho generador con culpa o dolo y el vínculo causal entre los dos. Cuando estos elementos se configuren darán lugar a una sanción administrativa ambiental, sin perjuicio de la responsabilidad que para terceros pueda generar el hecho en materia civil”.</t>
  </si>
  <si>
    <t>El acto administrativo de iniciación, es el acto mediante el cual se ordena el inicio del procedimiento sancionatorio para verificar los hechos u omisiones constitutivas de infracción a las normas ambientales, de conformidad con el art. 18 de la Ley 1333 de 2009.</t>
  </si>
  <si>
    <t>Cuando aparezca plenamente demostrada alguna de las causales de cesación del procedimiento, se expide un acto administrativo en tal sentido, de conformidad con el artículo 23 de la Ley 1333 de 2009.</t>
  </si>
  <si>
    <t>El acto administrativo de determinación de responsabilidad, es el acto mediante el cual se declara o no la responsabilidad del infractor por violación de la norma ambiental.</t>
  </si>
  <si>
    <r>
      <t xml:space="preserve">PPSR </t>
    </r>
    <r>
      <rPr>
        <vertAlign val="subscript"/>
        <sz val="9"/>
        <color rgb="FF000000"/>
        <rFont val="Calibri"/>
        <family val="2"/>
        <scheme val="minor"/>
      </rPr>
      <t>t</t>
    </r>
    <r>
      <rPr>
        <sz val="9"/>
        <color rgb="FF000000"/>
        <rFont val="Calibri"/>
        <family val="2"/>
        <scheme val="minor"/>
      </rPr>
      <t xml:space="preserve"> = Porcentaje de Procesos Sancionatorios Resueltos, en el tiempo t.</t>
    </r>
  </si>
  <si>
    <r>
      <t xml:space="preserve">ADR </t>
    </r>
    <r>
      <rPr>
        <vertAlign val="subscript"/>
        <sz val="9"/>
        <color rgb="FF000000"/>
        <rFont val="Calibri"/>
        <family val="2"/>
        <scheme val="minor"/>
      </rPr>
      <t>t</t>
    </r>
    <r>
      <rPr>
        <sz val="9"/>
        <color rgb="FF000000"/>
        <rFont val="Calibri"/>
        <family val="2"/>
        <scheme val="minor"/>
      </rPr>
      <t xml:space="preserve"> = Número de actos administrativos de determinación de la responsabilidad expedidos, en el tiempo t.</t>
    </r>
  </si>
  <si>
    <r>
      <t xml:space="preserve">ACP </t>
    </r>
    <r>
      <rPr>
        <vertAlign val="subscript"/>
        <sz val="9"/>
        <color rgb="FF000000"/>
        <rFont val="Calibri"/>
        <family val="2"/>
        <scheme val="minor"/>
      </rPr>
      <t>t</t>
    </r>
    <r>
      <rPr>
        <sz val="9"/>
        <color rgb="FF000000"/>
        <rFont val="Calibri"/>
        <family val="2"/>
        <scheme val="minor"/>
      </rPr>
      <t xml:space="preserve"> = Número de actos administrativos de cesación de procedimiento expedidos, en el tiempo t.</t>
    </r>
  </si>
  <si>
    <t>AIPS = Número de actos administrativos de iniciación de procedimiento sancionatorio expedidos.</t>
  </si>
  <si>
    <t>La variable AIPS comprende el total de los actos administrativos de iniciación de procedimiento sancionatorio expedidos en la vigencia respectiva, más los actos administrativos de iniciación de procedimiento cuyo proceso sancionatorio que se encuentre sin acto administrativo de determinación de la responsabilidad o de cesación de procedimiento expedido, a 31 de diciembre de la vigencia anterior.</t>
  </si>
  <si>
    <t>Número de actos administrativos de iniciación de procedimiento sancionatorio expedidos (AIPS)</t>
  </si>
  <si>
    <t>Número de actos administrativos de determinación de la responsabilidad expedidos en la vigencia (ADR)</t>
  </si>
  <si>
    <t>Número de actos administrativos de cesación de procedimiento expedidos en la vigencia (ACP)</t>
  </si>
  <si>
    <t>Porcentaje de Procesos Sancionatorios Resueltos (PPSR)</t>
  </si>
  <si>
    <t>Cuanto más cercano a cien por ciento, mayor es el cumplimiento por parte de la autoridad ambiental de su función de adelantar los procesos sancionatorios por la comisión de infracciones en materia ambiental.</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</si>
  <si>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Procesos Sancionatorios Resueltos (Versión 1.0).</t>
    </r>
    <r>
      <rPr>
        <sz val="9"/>
        <color rgb="FF000000"/>
        <rFont val="Calibri"/>
        <family val="2"/>
        <scheme val="minor"/>
      </rPr>
      <t xml:space="preserve"> Ministerio de Ambiente y Desarrollo Sostenible, DGOAT-SINA.</t>
    </r>
  </si>
  <si>
    <t>Porcentaje de municipios asesorados o asistidos en la inclusión del componente ambiental en los procesos de planificación y ordenamiento territorial, con énfasis en la incorporación de las determinantes ambientales para la revisión y ajuste de los POT</t>
  </si>
  <si>
    <t>Es la relación entre el número de municipios asesorados o asistidos en temas relacionados con la inclusión del componente ambiental en los procesos de planificación y ordenamiento territorial, con énfasis en la incorporación de las determinantes ambientales para la revisión y ajuste de los POT, con respecto a la meta de municipios a ser asesorados en dicha incorporación.</t>
  </si>
  <si>
    <t>El indicador mide el cumplimiento de las metas establecidas, por parte de la Corporación Autónoma Regional, en relación con la asesoría a los municipios en la inclusión del componente ambiental en los procesos de planificación y ordenamiento territorial, con énfasis en la incorporación de las determinantes ambientales en la actualización o revisión de los planes de ordenamiento territorial. (Incluye POT, PBOT, EOT)</t>
  </si>
  <si>
    <t>Ley 99 de 1993, Ley Marco del Medio Ambiente. artículo 31, Numerales 4) , 5) y 29) en cuanto a funciones de las CAR (Coordinar el proceso de preparación de los planes, programas y proyectos de desarrollo medioambiental que deban formular los diferentes organismos y entidades integrantes del Sistema Nacional Ambiental (SINA) en el área de su jurisdicción y en especial, asesorar a los Departamentos, Distritos y Municipios de su comprensión territorial en la definición de los planes de desarrollo ambiental y en sus programas y proyectos en materia de protección del medio ambiente y los recursos naturales renovables, de manera que se asegure la armonía y coherencia de las políticas y acciones adoptadas por las distintas entidades territoriales; Participar con los demás organismos y entes competentes en el ámbito de su jurisdicción, en los procesos de planificación y ordenamiento territorial a fin de que el factor ambiental sea tenido en cuenta en las decisiones que se adopten; y Apoyar a los concejos municipales, a las asambleas departamentales y a los consejos de las entidades territoriales indígenas en las funciones de planificación que les otorga la Constitución Nacional).</t>
  </si>
  <si>
    <t>Ley 388 de 1997, Planes de Ordenamiento Territorial. Artículo 10, numeral 1) Determinantes de los planes de ordenamiento territorial. En la elaboración y adopción de sus planes de ordenamiento territorial los municipios y distritos deberán tener en cuenta las siguientes determinantes, que constituyen normas de superior jerarquía, en sus propios ámbitos de competencia, de acuerdo con la Constitución y las leyes: 1.) Las relacionadas con la conservación y protección del medio ambiente, los recursos naturales la prevención de amenazas y riesgos naturales; Artículo 24) Instancias de concertación y consulta. El alcalde distrital o municipal, a través de las oficinas de planeación o de la dependencia que haga sus veces, será responsable de coordinar la formulación oportuna del proyecto del plan de Ordenamiento Territorial, y de someterlo a consideración del Consejo de Gobierno. En todo caso, antes de la presentación del proyecto de plan de ordenamiento territorial a consideración del concejo distrital o municipal, se surtirán los trámites de concertación interinstitucional y consulta ciudadana.</t>
  </si>
  <si>
    <t>Ley 507 de 1999, Artículo 1, parágrafo 6. Parágrafo 6. El Proyecto de Plan de Ordenamiento Territorial (POT) se someterá a consideración de la Corporación Autónoma Regional o autoridad ambiental competente a efectos de que conjuntamente con el municipio y/o distrito concerten lo concerniente a los asuntos exclusivamente ambientales, dentro del ámbito de su competencia de acuerdo con lo dispuesto en la Ley 99 de 1993, para lo cual dispondrán, de treinta (30) días. En relación con los temas sobre los cuales no se logre la concertación, el Ministerio del Medio Ambiente intervendrá con el fin de decidir sobre los puntos de desacuerdo para lo cual dispondrá de un término máximo de treinta (30) días contados a partir del vencimiento del plazo anteriormente señalado en este parágrafo.</t>
  </si>
  <si>
    <t>Ley 1753 de 2015, Plan Nacional de Desarrollo, bases PND estrategia Territorial A y E</t>
  </si>
  <si>
    <t>Decreto 1076 de 2015, Decreto Único Reglamentario del Ambiente.</t>
  </si>
  <si>
    <t>De acuerdo con la Ley 99 de 1993, el objeto de las Corporaciones Autónomas Regionales y las de Desarrollo Sostenible, es la ejecución de políticas, planes, programas y proyectos sobre medio ambiente y recursos naturales renovables en lo relacionado con su administración, manejo y aprovechamiento. Así, las corporaciones son las encargadas de administrar, dentro del área de su jurisdicción, el medio ambiente y los recursos naturales renovables y propender por su desarrollo sostenible, de conformidad con las disposiciones legales y las políticas del Ministerio del Medio Ambiente. Esto significa que las CAR tienen un rol preponderante en la incorporación de los temas ambientales en los ejercicios de planificación y ordenamiento territorial de los municipios y distritos, principalmente, en los modelos de ocupación territorial por ellos propuestos. Para lo anterior, las CAR en conjunto con los organismos nacionales adscritos y vinculados al MADS y con las entidades técnicas y científicas del SINA, deben adelantar estudios e investigaciones, enfocadas al análisis territorial que le permita tomar decisiones y emprender las acciones pertinentes para identificar las determinantes ambientales de su jurisdicción.</t>
  </si>
  <si>
    <t>El factor ambiental es fundamental para asegurar el desarrollo sostenible y la resiliencia territorial de los ejercicios de planificación territorial de los municipios y distritos. Complementario a lo anterior, la Ley 388 de 1997 fijó los objetivos, principios y fines del ordenamiento territorial que rigen las actuaciones de las autoridades municipales y distritales para alcanzar el objeto del ordenamiento del territorio municipal o distrital, esto es, complementar la planificación económica y social con la dimensión territorial, racionalizar las intervenciones sobre el territorio y orientar su desarrollo y aprovechamiento sostenible en los términos de los artículos 1 º, 2 º, 3 º y 6 º de la mencionada ley.</t>
  </si>
  <si>
    <t>La ley 388 de 1997 en su artículo 10º establece los Determinantes ambientales, los constituyen un conjunto de directrices, orientaciones, conceptos y normas que permiten el adecuado reconocimiento del Componente Ambiental en los Planes, Planes Básicos y Esquemas de Ordenamiento Territorial, y su articulación con otros instrumentos de planificación y uso del territorio.</t>
  </si>
  <si>
    <t>La mencionada Ley plantea que en la elaboración y adopción de los planes de ordenamiento territorial los municipios y distritos deberán tener en cuenta, entre otros determinantes, los relacionadas con la conservación y protección del medio ambiente, los recursos naturales la prevención de amenazas y riesgos naturales.</t>
  </si>
  <si>
    <t>Las autoridades ambientales juegan un papel central como asesores técnicos para procurar la inclusión del componente ambiental en los procesos de planificación y ordenamiento de las entidades territoriales, en especial en lo relacionado con la incorporación de las determinantes ambientales en los instrumentos de planificación territorial de los municipios. Una asistencia técnica de las CAR a los municipios y distritos en este sentido, permite a la autoridad ambiental incidir favorablemente en las decisiones sobre aprovechamiento racional de recursos naturales renovables y en su inclusión como elementos estructurantes y articuladores del territorio municipal o distrital, buscando de esta forma garantizar que los procesos de desarrollo territorial sean ambientalmente sostenibles.</t>
  </si>
  <si>
    <t>Por acciones de asesoría y asistencia por parte de la Corporación Autónoma Regional, se entienden las siguientes acciones:</t>
  </si>
  <si>
    <r>
      <t>·</t>
    </r>
    <r>
      <rPr>
        <sz val="7"/>
        <color rgb="FF000000"/>
        <rFont val="Times New Roman"/>
        <family val="1"/>
      </rPr>
      <t xml:space="preserve">        </t>
    </r>
    <r>
      <rPr>
        <sz val="9"/>
        <color rgb="FF000000"/>
        <rFont val="Calibri"/>
        <family val="2"/>
      </rPr>
      <t>Realizar eventos de socialización y capacitación a los municipios y distritos en la inclusión del componente ambiental en los procesos de planificación y ordenamiento territorial, con énfasis en la incorporación de las determinantes ambientales para el ordenamiento territorial municipal.</t>
    </r>
  </si>
  <si>
    <r>
      <t>·</t>
    </r>
    <r>
      <rPr>
        <sz val="7"/>
        <color rgb="FF000000"/>
        <rFont val="Times New Roman"/>
        <family val="1"/>
      </rPr>
      <t xml:space="preserve">        </t>
    </r>
    <r>
      <rPr>
        <sz val="9"/>
        <color rgb="FF000000"/>
        <rFont val="Calibri"/>
        <family val="2"/>
      </rPr>
      <t>Socializar con los municipios de su jurisdicción la información derivada de sus sistemas de información, relacionado con el conocimiento del estado del ambiente a nivel regional y local.</t>
    </r>
  </si>
  <si>
    <r>
      <t>·</t>
    </r>
    <r>
      <rPr>
        <sz val="7"/>
        <color rgb="FF000000"/>
        <rFont val="Times New Roman"/>
        <family val="1"/>
      </rPr>
      <t xml:space="preserve">        </t>
    </r>
    <r>
      <rPr>
        <sz val="9"/>
        <color rgb="FF000000"/>
        <rFont val="Calibri"/>
        <family val="2"/>
      </rPr>
      <t>Capacitar a los municipios y Distritos en lo relacionado con el proceso de Concertación de los asuntos exclusivamente ambientales de los POT</t>
    </r>
    <r>
      <rPr>
        <sz val="12"/>
        <color rgb="FF000000"/>
        <rFont val="Calibri"/>
        <family val="2"/>
      </rPr>
      <t>.</t>
    </r>
  </si>
  <si>
    <t>Porcentaje de municipios asesorados o asistidos en la incorporación de los determinantes ambientales para la revisión y ajuste de los POT</t>
  </si>
  <si>
    <r>
      <t xml:space="preserve">PMAPOT </t>
    </r>
    <r>
      <rPr>
        <vertAlign val="subscript"/>
        <sz val="9"/>
        <color rgb="FF000000"/>
        <rFont val="Calibri"/>
        <family val="2"/>
        <scheme val="minor"/>
      </rPr>
      <t>t</t>
    </r>
    <r>
      <rPr>
        <sz val="9"/>
        <color rgb="FF000000"/>
        <rFont val="Calibri"/>
        <family val="2"/>
        <scheme val="minor"/>
      </rPr>
      <t xml:space="preserve"> = Porcentaje de municipios asesorados o asistidos asesorados o asistidos en la inclusión del componente ambiental en los procesos de planificación y ordenamiento territorial, con énfasis en la incorporación de las determinantes ambientales para la revisión y ajuste de los POT, en el tiempo t.</t>
    </r>
  </si>
  <si>
    <r>
      <t xml:space="preserve">MAPOT </t>
    </r>
    <r>
      <rPr>
        <vertAlign val="subscript"/>
        <sz val="9"/>
        <color rgb="FF000000"/>
        <rFont val="Calibri"/>
        <family val="2"/>
        <scheme val="minor"/>
      </rPr>
      <t>t</t>
    </r>
    <r>
      <rPr>
        <sz val="9"/>
        <color rgb="FF000000"/>
        <rFont val="Calibri"/>
        <family val="2"/>
        <scheme val="minor"/>
      </rPr>
      <t xml:space="preserve"> = Número de municipios asesorados en la inclusión del componente ambiental en los procesos de planificación y ordenamiento territorial, con énfasis en la incorporación de las determinantes ambientales para la revisión y ajuste de los POT, en el tiempo t.</t>
    </r>
  </si>
  <si>
    <r>
      <t xml:space="preserve">MMAPOT </t>
    </r>
    <r>
      <rPr>
        <vertAlign val="subscript"/>
        <sz val="9"/>
        <color rgb="FF000000"/>
        <rFont val="Calibri"/>
        <family val="2"/>
        <scheme val="minor"/>
      </rPr>
      <t>t</t>
    </r>
    <r>
      <rPr>
        <sz val="9"/>
        <color rgb="FF000000"/>
        <rFont val="Calibri"/>
        <family val="2"/>
        <scheme val="minor"/>
      </rPr>
      <t xml:space="preserve"> = Meta de municipios a ser asesorados en la inclusión del componente ambiental en los procesos de planificación y ordenamiento territorial, con énfasis en la incorporación de las determinantes ambientales para la revisión y ajuste de los POT, en el tiempo t.</t>
    </r>
  </si>
  <si>
    <t>Meta de municipios a ser asesorados o asistidos en la inclusión del componente ambiental en los procesos de planificación y ordenamiento territorial, con énfasis en la incorporación de las determinantes ambientales para la revisión y ajuste de los POT (MMAPOT)</t>
  </si>
  <si>
    <t>Municipios asesorados o asistidos en la inclusión del componente ambiental en los procesos de planificación y ordenamiento territorial, con énfasis en la incorporación de las determinantes ambientales para la revisión y ajuste de los POT (MAPOT)</t>
  </si>
  <si>
    <t>Porcentaje de municipios asesorados o asistidos en la inclusión del componente ambiental en los procesos de planificación y ordenamiento territorial, con énfasis en la incorporación de las determinantes ambientales para la revisión y ajuste de los POT (PMAPOT) (C = B / A)</t>
  </si>
  <si>
    <t>Detalle de acciones de asesoría o asistencia a los municipios o distritos, realizadas en la vigencia (utilice tantas filas cuantas sean necesarias)</t>
  </si>
  <si>
    <t xml:space="preserve">Número de municipios </t>
  </si>
  <si>
    <t>Nombres de municipios</t>
  </si>
  <si>
    <t>Cuanto más cercano a cien por ciento, mayor es el cumplimiento de las metas establecidas en relación con la asesoría a los municipios en la incorporación de los determinantes ambientales para la revisión y ajuste de los POT.</t>
  </si>
  <si>
    <r>
      <t>Hoja Metodológica de referencia:</t>
    </r>
    <r>
      <rPr>
        <sz val="9"/>
        <color rgb="FF000000"/>
        <rFont val="Calibri"/>
        <family val="2"/>
        <scheme val="minor"/>
      </rPr>
      <t xml:space="preserve"> MADS (2016). </t>
    </r>
    <r>
      <rPr>
        <i/>
        <sz val="9"/>
        <color rgb="FF000000"/>
        <rFont val="Calibri"/>
        <family val="2"/>
        <scheme val="minor"/>
      </rPr>
      <t xml:space="preserve">Hoja metodológica de Porcentaje de municipios asesorados o asistidos en la inclusión del componente ambiental en los procesos de planificación y ordenamiento territorial, con énfasis en la incorporación de las determinantes ambientales para la revisión y ajuste de los POT (Versión 1.0). Ministerio de Ambiente y Desarrollo Sostenible </t>
    </r>
    <r>
      <rPr>
        <sz val="9"/>
        <color rgb="FF000000"/>
        <rFont val="Calibri"/>
        <family val="2"/>
        <scheme val="minor"/>
      </rPr>
      <t>MADS, DGOAT-SINA.</t>
    </r>
  </si>
  <si>
    <t>Porcentaje de redes y estaciones de monitoreo en operación</t>
  </si>
  <si>
    <t>Es el número de redes y estaciones de monitoreo que están en operación y que cumplen con la representatividad de los datos en relación con el número de redes y estaciones de monitoreo instaladas de la Corporación.</t>
  </si>
  <si>
    <t>El indicador mide la gestión de la corporación para el mantenimiento de las redes de monitoreo, el cumplimiento de las metas que la autoridad ambiental se ha propuesto alcanzar en relación con la operación de redes y estaciones de monitoreo, que satisfacen la representatividad temporal de los datos y sigue los protocolos establecidos.</t>
  </si>
  <si>
    <t>SIRH: Decreto 1076 de 2015.</t>
  </si>
  <si>
    <t>SISAIRE: Resolución 601 de 2006, Resolución 650 de 2010, Resolución 651 de 2010, Resolución 760 de 2010, Resolución 2153 de 2010, Resolución 2154 de 2010.</t>
  </si>
  <si>
    <t>www.sisaire.gov.co</t>
  </si>
  <si>
    <t>www.sirh.ideam.gov.co</t>
  </si>
  <si>
    <t>La información sobre la cantidad y calidad de los recursos naturales y del ambiente es la herramienta necesaria para una planificación y administración adecuada de dichos recursos, que garantice su sostenibilidad ambiental.</t>
  </si>
  <si>
    <t>Por ello, el Decreto 1076 de 2015 crea el Sistema de Información del Recurso Hídrico - SIRH, como parte del Sistema de Información Ambiental para Colombia - SIAC, en lo relacionado con aguas superficiales, subterráneas, marinas y estuarinas. El Decreto 1076 determina como responsabilidad de las corporaciones autónomas regionales “realizar el monitoreo y seguimiento del recurso hídrico en el área de su jurisdicción, para lo cual deberán aplicar los protocolos y estándares establecidos en el SIRH”. Por su parte, los titulares de licencias, permisos y concesiones están obligados a recopilar y a suministrar sin costo alguno la información sobre la utilización del mismo a las autoridades ambientales competentes.</t>
  </si>
  <si>
    <t>Adicionalmente, el Decreto 1076 de 2015, establece que las autoridades ambientales deberán realizar el Registro de Usuarios del Recurso Hídrico de manera gradual en las cuencas hidrográficas priorizadas en su jurisdicción.</t>
  </si>
  <si>
    <t>Por otra parte, la Resolución 651 de 2010 crea el Subsistema de Información sobre Calidad del Aire – Sisaire, como parte del Sistema de Información Ambiental para Colombia, SIAC, en lo referente a la información para el diseño, evaluación y ajuste de la política y las estrategias para la prevención y control de la contaminación del aire. La resolución estipula que las corporaciones autónomas regionales que operen Sistemas de Vigilancia de la Calidad del Aire (SVCA) deben realizar el reporte de la información de calidad del aire a nivel de inmisión. Las autoridades ambientales tienen la obligación de reportar al Sisaire la información de calidad del aire, meteorológica y de ruido.</t>
  </si>
  <si>
    <r>
      <t xml:space="preserve">PREMO </t>
    </r>
    <r>
      <rPr>
        <vertAlign val="subscript"/>
        <sz val="9"/>
        <color rgb="FF000000"/>
        <rFont val="Calibri"/>
        <family val="2"/>
        <scheme val="minor"/>
      </rPr>
      <t>t</t>
    </r>
    <r>
      <rPr>
        <sz val="9"/>
        <color rgb="FF000000"/>
        <rFont val="Calibri"/>
        <family val="2"/>
        <scheme val="minor"/>
      </rPr>
      <t xml:space="preserve"> = Porcentaje de redes y estaciones de monitoreo en operación, en el tiempo t.</t>
    </r>
  </si>
  <si>
    <r>
      <t xml:space="preserve">PREMOAG </t>
    </r>
    <r>
      <rPr>
        <vertAlign val="subscript"/>
        <sz val="9"/>
        <color rgb="FF000000"/>
        <rFont val="Calibri"/>
        <family val="2"/>
        <scheme val="minor"/>
      </rPr>
      <t>t</t>
    </r>
    <r>
      <rPr>
        <sz val="9"/>
        <color rgb="FF000000"/>
        <rFont val="Calibri"/>
        <family val="2"/>
        <scheme val="minor"/>
      </rPr>
      <t xml:space="preserve"> = Porcentaje de estaciones de monitoreo de calidad del agua en operación, en el tiempo t.</t>
    </r>
  </si>
  <si>
    <r>
      <t xml:space="preserve">PREMOAR </t>
    </r>
    <r>
      <rPr>
        <vertAlign val="subscript"/>
        <sz val="9"/>
        <color rgb="FF000000"/>
        <rFont val="Calibri"/>
        <family val="2"/>
        <scheme val="minor"/>
      </rPr>
      <t>t</t>
    </r>
    <r>
      <rPr>
        <sz val="9"/>
        <color rgb="FF000000"/>
        <rFont val="Calibri"/>
        <family val="2"/>
        <scheme val="minor"/>
      </rPr>
      <t xml:space="preserve"> = Porcentaje de redes y estaciones de monitoreo de calidad del aire en operación, en el tiempo t.</t>
    </r>
  </si>
  <si>
    <r>
      <t xml:space="preserve">PREMOO </t>
    </r>
    <r>
      <rPr>
        <vertAlign val="subscript"/>
        <sz val="9"/>
        <color rgb="FF000000"/>
        <rFont val="Calibri"/>
        <family val="2"/>
        <scheme val="minor"/>
      </rPr>
      <t>t</t>
    </r>
    <r>
      <rPr>
        <sz val="9"/>
        <color rgb="FF000000"/>
        <rFont val="Calibri"/>
        <family val="2"/>
        <scheme val="minor"/>
      </rPr>
      <t xml:space="preserve"> = Porcentaje de otras redes y estaciones de monitoreo en operación, en el tiempo t.</t>
    </r>
  </si>
  <si>
    <r>
      <t xml:space="preserve">a = ponderador de PREMOAG </t>
    </r>
    <r>
      <rPr>
        <vertAlign val="subscript"/>
        <sz val="9"/>
        <color rgb="FF000000"/>
        <rFont val="Calibri"/>
        <family val="2"/>
        <scheme val="minor"/>
      </rPr>
      <t>t</t>
    </r>
  </si>
  <si>
    <r>
      <t xml:space="preserve">b = ponderador de PREMOAR </t>
    </r>
    <r>
      <rPr>
        <vertAlign val="subscript"/>
        <sz val="9"/>
        <color rgb="FF000000"/>
        <rFont val="Calibri"/>
        <family val="2"/>
        <scheme val="minor"/>
      </rPr>
      <t>t</t>
    </r>
  </si>
  <si>
    <r>
      <t xml:space="preserve">c = ponderador de PREMOO </t>
    </r>
    <r>
      <rPr>
        <vertAlign val="subscript"/>
        <sz val="9"/>
        <color rgb="FF000000"/>
        <rFont val="Calibri"/>
        <family val="2"/>
        <scheme val="minor"/>
      </rPr>
      <t>t</t>
    </r>
  </si>
  <si>
    <t>Nota: los ponderadores serán definidos por cada CAR teniendo en cuenta la proporción de redes y estaciones de monitoreo a cargo de la autoridad ambiental regional.</t>
  </si>
  <si>
    <t>AGUA</t>
  </si>
  <si>
    <t>Información de estaciones hidrometeorológicas</t>
  </si>
  <si>
    <t>Tipo de estación</t>
  </si>
  <si>
    <t>Automáticas</t>
  </si>
  <si>
    <t>Manuales</t>
  </si>
  <si>
    <t>Instaladas</t>
  </si>
  <si>
    <t>En operación</t>
  </si>
  <si>
    <t>Estaciones hidrometeorológicas</t>
  </si>
  <si>
    <t>Número total de estaciones hidrometeorológicas instaladas:</t>
  </si>
  <si>
    <t>Número total de estaciones hidrometeorológicas en operación:</t>
  </si>
  <si>
    <t>Porcentaje de estaciones hidrometeorológicas en operación:</t>
  </si>
  <si>
    <t>AIRE</t>
  </si>
  <si>
    <t>MONITOREO DE PM10</t>
  </si>
  <si>
    <t>Número de Sistemas de Vigilancia de Calidad del Aire:</t>
  </si>
  <si>
    <t>Número de estaciones de monitoreo del aire instaladas:</t>
  </si>
  <si>
    <t>Número de Sistemas de Vigilancia de Calidad del Aire acreditados:</t>
  </si>
  <si>
    <t>Información de estaciones de monitoreo de aire</t>
  </si>
  <si>
    <t>Número de red</t>
  </si>
  <si>
    <t>Estación</t>
  </si>
  <si>
    <t>Localización</t>
  </si>
  <si>
    <t>Número de días con datos esperados al año</t>
  </si>
  <si>
    <t>Número de días con datos reportados al año</t>
  </si>
  <si>
    <t>Representatividad temporal igual o superior a 75%</t>
  </si>
  <si>
    <t>(E = D/ C). Si E≥75%, escriba 1; si no, escriba 0.</t>
  </si>
  <si>
    <t>Observaciones / comentarios</t>
  </si>
  <si>
    <t>Información de redes (Sistemas de Vigilancia de Calidad del Aire)</t>
  </si>
  <si>
    <t>Número / red</t>
  </si>
  <si>
    <t>Redes instaladas en la Corporación</t>
  </si>
  <si>
    <t>Red1</t>
  </si>
  <si>
    <t>Red2</t>
  </si>
  <si>
    <t>Red3</t>
  </si>
  <si>
    <t>Número de estaciones en operación</t>
  </si>
  <si>
    <t xml:space="preserve">Número de estaciones con representatividad temporal igual o superior a 75%. </t>
  </si>
  <si>
    <t>J</t>
  </si>
  <si>
    <t>Redes con representatividad temporal a 75%</t>
  </si>
  <si>
    <t>J = I / H. Si J≥75%, escriba 1; si no, escriba 0.</t>
  </si>
  <si>
    <t>K</t>
  </si>
  <si>
    <t>Porcentaje de redes en operación (K = ΣJ / G)</t>
  </si>
  <si>
    <t>MONITOREO DE PM2,5</t>
  </si>
  <si>
    <t>(E = D/ C) Si E≥75%, escriba 1; si no, escriba 0.</t>
  </si>
  <si>
    <t>Número de estaciones con representatividad temporal igual o superior a 75%</t>
  </si>
  <si>
    <t>SUBTOTAL RECURSO AIRE</t>
  </si>
  <si>
    <t>L</t>
  </si>
  <si>
    <t>Porcentaje de redes en operación PM 10</t>
  </si>
  <si>
    <t>M</t>
  </si>
  <si>
    <t>Porcentaje de redes en operación PM 2,5</t>
  </si>
  <si>
    <t>Subtotal monitoreo aire: Porcentaje de redes de monitoreo del recurso aire en operación (N = Promedio (M, N)</t>
  </si>
  <si>
    <t>CALCULO FINAL DEL INDICADOR</t>
  </si>
  <si>
    <t>Porcentaje</t>
  </si>
  <si>
    <t>Ponderación</t>
  </si>
  <si>
    <t>Porcentaje de estaciones hidrometeorológicas en operación</t>
  </si>
  <si>
    <t>Porcentaje de redes de monitoreo del recurso aire en operación</t>
  </si>
  <si>
    <t>Cuanto más cercano a cien por ciento, mayor es el cumplimiento de las metas que la autoridad ambiental se ha propuesto alcanzar en relación con la operación de redes y estaciones de monitoreo, en el marco del Plan de Acción de la Corporación</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</si>
  <si>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Porcentaje de redes y estaciones de monitoreo en operación (Versión 1.0).</t>
    </r>
    <r>
      <rPr>
        <sz val="9"/>
        <color rgb="FF000000"/>
        <rFont val="Calibri"/>
        <family val="2"/>
        <scheme val="minor"/>
      </rPr>
      <t xml:space="preserve"> Ministerio de Ambiente y Desarrollo Sostenible, DGOAT-SINA.</t>
    </r>
  </si>
  <si>
    <t>Porcentaje de actualización y reporte de la información en el SIAC</t>
  </si>
  <si>
    <t>Es la relación entre el número de registros que la Corporación migra a los diferentes subsistemas del SIAC y el número de registros esperados reportados en dichos subsistemas.</t>
  </si>
  <si>
    <t>El indicador mide el cumplimiento de los requerimientos de reporte por parte de las Corporaciones Autónomas Regionales a los diferentes subsistemas del SIAC.</t>
  </si>
  <si>
    <t>SIUR, RUA Manufacturero: Resolución 1023 de 2010.</t>
  </si>
  <si>
    <t>RESPEL: Resolución 1362 de 2007.</t>
  </si>
  <si>
    <t>Documentación de soporte:</t>
  </si>
  <si>
    <t>Protocolo para la utilización y reporte de información para las diferentes redes de monitoreo de calidad del aire en Colombia. Protocolo para el monitoreo y seguimiento del agua.</t>
  </si>
  <si>
    <t>100% de los registros esperados reportados en el SIAC</t>
  </si>
  <si>
    <t>El Sistema de Información Ambiental de Colombia SIAC se define como el “conjunto integrado de actores, políticas, procesos, y tecnologías involucrados en la gestión de información ambiental del país, para facilitar la generación de conocimiento, la toma de decisiones, la educación y la participación social para el desarrollo sostenible”.</t>
  </si>
  <si>
    <t>La información sobre la cantidad y calidad de los recursos naturales y del ambiente es la herramienta necesaria para una planificación y administración adecuada de dichos recursos, que garantice su sostenibilidad ambiental. En tal sentido, el SIAC ha desarrollado, entre otros subsistemas, el Sistema de Información del Recurso Hídrico – SIRH, el Sistema de información sobre Calidad de Aire – SISAIRE (IDEAM), el Sistema Nacional de Información Forestal – SNIF y el Sistema de Información sobre Uso de Recursos Naturales – SIUR. Como parte del SIUR, se dispone del Registro Único Ambiental RUA para diferentes sectores, entre otros, el manufacturero.</t>
  </si>
  <si>
    <t>En efecto, el Decreto 1076 de 2015 crea el Sistema de Información del Recurso Hídrico, SIRH, como parte del Sistema de Información Ambiental para Colombia, SIAC, en lo relacionado con aguas superficiales, subterráneas, marinas y estuarinas. El Artículo 2.2.3.5.1.9 de dicho Decreto determina como responsabilidad de las corporaciones autónomas regionales “realizar el monitoreo y seguimiento del recurso hídrico en el área de su jurisdicción, para lo cual deberán aplicar los protocolos y estándares establecidos en el SIRH”. Por su parte, los titulares de licencias, permisos y concesiones están obligados a recopilar y a suministrar sin costo alguno la información sobre la utilización del mismo a las autoridades ambientales competentes (Artículo 2.2.3.5.1.10).</t>
  </si>
  <si>
    <t>Adicionalmente, el Decreto 1076 de 2015, art. 2.2.3.4.1.1. establece que las autoridades ambientales deberán realizar el Registro de Usuarios del Recurso Hídrico de manera gradual en las cuencas hidrográficas priorizadas en su jurisdicción.</t>
  </si>
  <si>
    <t>El Sistema Nacional de Información Forestal- SNIF constituye la herramienta informática para el montaje y operación del Sistema de Información del Programa de Monitoreo de Bosques. Propende por la captura, análisis, procesamiento y difusión de la información sobre aprovechamientos de productos forestales, maderables y no maderables, movilizaciones de productos forestales maderables y no maderables, decomisos forestales, plantaciones forestales productoras y protectoras, remisiones de madera de plantaciones forestales e incendios de la cobertura vegetal.</t>
  </si>
  <si>
    <t>La Resolución 1362 de 2007 establecen los requisitos y el procedimiento para el Registro de Generadores de Residuos o Desechos Peligrosos, y la Directiva Ministerial 8000-2-25332 de 2015, por su parte, recuerda a las Corporaciones a reportar y mantener actualizada la información sobre residuos peligrosos en el marco del SIAC, en cumplimiento de la Política Ambiental para la Gestión Integral de Residuos Peligrosos.</t>
  </si>
  <si>
    <t>Porcentaje de actualización y reporte de la información al SIAC</t>
  </si>
  <si>
    <r>
      <t xml:space="preserve">PARSIAC </t>
    </r>
    <r>
      <rPr>
        <vertAlign val="subscript"/>
        <sz val="9"/>
        <color rgb="FF000000"/>
        <rFont val="Calibri"/>
        <family val="2"/>
        <scheme val="minor"/>
      </rPr>
      <t>t</t>
    </r>
    <r>
      <rPr>
        <sz val="9"/>
        <color rgb="FF000000"/>
        <rFont val="Calibri"/>
        <family val="2"/>
        <scheme val="minor"/>
      </rPr>
      <t xml:space="preserve"> = Porcentaje de actualización y reporte de la información al SIAC, en el tiempo t.</t>
    </r>
  </si>
  <si>
    <r>
      <t xml:space="preserve">PARS </t>
    </r>
    <r>
      <rPr>
        <vertAlign val="subscript"/>
        <sz val="9"/>
        <color rgb="FF000000"/>
        <rFont val="Calibri"/>
        <family val="2"/>
        <scheme val="minor"/>
      </rPr>
      <t>i</t>
    </r>
    <r>
      <rPr>
        <sz val="9"/>
        <color rgb="FF000000"/>
        <rFont val="Calibri"/>
        <family val="2"/>
        <scheme val="minor"/>
      </rPr>
      <t xml:space="preserve"> = Porcentaje de actualización y reporte de la información al Subsistema </t>
    </r>
    <r>
      <rPr>
        <i/>
        <sz val="9"/>
        <color rgb="FF000000"/>
        <rFont val="Calibri"/>
        <family val="2"/>
        <scheme val="minor"/>
      </rPr>
      <t>i</t>
    </r>
    <r>
      <rPr>
        <sz val="9"/>
        <color rgb="FF000000"/>
        <rFont val="Calibri"/>
        <family val="2"/>
        <scheme val="minor"/>
      </rPr>
      <t xml:space="preserve"> del SIAC, en el tiempo t</t>
    </r>
  </si>
  <si>
    <t>i = SIRH, SISAIRE, SNIF, RESPEL.</t>
  </si>
  <si>
    <r>
      <t>a</t>
    </r>
    <r>
      <rPr>
        <vertAlign val="subscript"/>
        <sz val="9"/>
        <color rgb="FF000000"/>
        <rFont val="Calibri"/>
        <family val="2"/>
        <scheme val="minor"/>
      </rPr>
      <t xml:space="preserve">i = </t>
    </r>
    <r>
      <rPr>
        <sz val="9"/>
        <color rgb="FF000000"/>
        <rFont val="Calibri"/>
        <family val="2"/>
        <scheme val="minor"/>
      </rPr>
      <t>Ponderación correspondiente a cada subsistema del SIAC (SIRH, SISAIRE, SNIF, RESPEL, SIUR). La suma de los ponderadores es igual a 1.</t>
    </r>
  </si>
  <si>
    <t>Nota: los ponderadores para cada subsistema son establecidos por cada Corporación con base en los registros esperados o estimados por cada subsistema.</t>
  </si>
  <si>
    <t>En términos generales, el porcentaje de actualización y reporte de la información por cada subsistema se calcula de la siguiente manera:</t>
  </si>
  <si>
    <t>Porcentaje de actualización y reporte de la información por cada subsistema</t>
  </si>
  <si>
    <r>
      <t xml:space="preserve">PARS </t>
    </r>
    <r>
      <rPr>
        <vertAlign val="subscript"/>
        <sz val="9"/>
        <color rgb="FF000000"/>
        <rFont val="Calibri"/>
        <family val="2"/>
        <scheme val="minor"/>
      </rPr>
      <t>it</t>
    </r>
    <r>
      <rPr>
        <sz val="9"/>
        <color rgb="FF000000"/>
        <rFont val="Calibri"/>
        <family val="2"/>
        <scheme val="minor"/>
      </rPr>
      <t xml:space="preserve"> = Porcentaje de actualización y reporte de la información al Subsistema </t>
    </r>
    <r>
      <rPr>
        <i/>
        <sz val="9"/>
        <color rgb="FF000000"/>
        <rFont val="Calibri"/>
        <family val="2"/>
        <scheme val="minor"/>
      </rPr>
      <t>i</t>
    </r>
    <r>
      <rPr>
        <sz val="9"/>
        <color rgb="FF000000"/>
        <rFont val="Calibri"/>
        <family val="2"/>
        <scheme val="minor"/>
      </rPr>
      <t xml:space="preserve"> del SIAC, en el tiempo t.</t>
    </r>
  </si>
  <si>
    <r>
      <t xml:space="preserve">RRS </t>
    </r>
    <r>
      <rPr>
        <vertAlign val="subscript"/>
        <sz val="9"/>
        <color rgb="FF000000"/>
        <rFont val="Calibri"/>
        <family val="2"/>
        <scheme val="minor"/>
      </rPr>
      <t>it</t>
    </r>
    <r>
      <rPr>
        <sz val="9"/>
        <color rgb="FF000000"/>
        <rFont val="Calibri"/>
        <family val="2"/>
        <scheme val="minor"/>
      </rPr>
      <t xml:space="preserve"> = Número de registros reportados en el subsistema </t>
    </r>
    <r>
      <rPr>
        <i/>
        <sz val="9"/>
        <color rgb="FF000000"/>
        <rFont val="Calibri"/>
        <family val="2"/>
        <scheme val="minor"/>
      </rPr>
      <t>i</t>
    </r>
    <r>
      <rPr>
        <sz val="9"/>
        <color rgb="FF000000"/>
        <rFont val="Calibri"/>
        <family val="2"/>
        <scheme val="minor"/>
      </rPr>
      <t xml:space="preserve"> del SIAC, en el tiempo t.</t>
    </r>
  </si>
  <si>
    <r>
      <t xml:space="preserve">RES </t>
    </r>
    <r>
      <rPr>
        <vertAlign val="subscript"/>
        <sz val="9"/>
        <color rgb="FF000000"/>
        <rFont val="Calibri"/>
        <family val="2"/>
        <scheme val="minor"/>
      </rPr>
      <t>it</t>
    </r>
    <r>
      <rPr>
        <sz val="9"/>
        <color rgb="FF000000"/>
        <rFont val="Calibri"/>
        <family val="2"/>
        <scheme val="minor"/>
      </rPr>
      <t xml:space="preserve"> = Número de registros esperados reportados en el subsistema </t>
    </r>
    <r>
      <rPr>
        <i/>
        <sz val="9"/>
        <color rgb="FF000000"/>
        <rFont val="Calibri"/>
        <family val="2"/>
        <scheme val="minor"/>
      </rPr>
      <t>i</t>
    </r>
    <r>
      <rPr>
        <sz val="9"/>
        <color rgb="FF000000"/>
        <rFont val="Calibri"/>
        <family val="2"/>
        <scheme val="minor"/>
      </rPr>
      <t xml:space="preserve"> del SIAC, en el tiempo t.</t>
    </r>
  </si>
  <si>
    <r>
      <t>i</t>
    </r>
    <r>
      <rPr>
        <sz val="9"/>
        <color rgb="FF000000"/>
        <rFont val="Calibri"/>
        <family val="2"/>
        <scheme val="minor"/>
      </rPr>
      <t xml:space="preserve"> = SIRH, SISAIRE, SNIF</t>
    </r>
  </si>
  <si>
    <t>Para el caso de la información validada por parte de las corporaciones autónomas regionales, el porcentaje de actualización y reporte de la información por cada subsistema se calcula de la siguiente manera:</t>
  </si>
  <si>
    <t>Porcentaje de actualización y reporte de la información por cada subsistema (información validada)</t>
  </si>
  <si>
    <r>
      <t xml:space="preserve">PARSIV </t>
    </r>
    <r>
      <rPr>
        <vertAlign val="subscript"/>
        <sz val="9"/>
        <color rgb="FF000000"/>
        <rFont val="Calibri"/>
        <family val="2"/>
        <scheme val="minor"/>
      </rPr>
      <t>it</t>
    </r>
    <r>
      <rPr>
        <sz val="9"/>
        <color rgb="FF000000"/>
        <rFont val="Calibri"/>
        <family val="2"/>
        <scheme val="minor"/>
      </rPr>
      <t xml:space="preserve"> = Porcentaje de actualización y reporte de la información por cada subsistema (información validada), en el tiempo t.</t>
    </r>
  </si>
  <si>
    <r>
      <t xml:space="preserve">RVS </t>
    </r>
    <r>
      <rPr>
        <vertAlign val="subscript"/>
        <sz val="9"/>
        <color rgb="FF000000"/>
        <rFont val="Calibri"/>
        <family val="2"/>
        <scheme val="minor"/>
      </rPr>
      <t>it</t>
    </r>
    <r>
      <rPr>
        <sz val="9"/>
        <color rgb="FF000000"/>
        <rFont val="Calibri"/>
        <family val="2"/>
        <scheme val="minor"/>
      </rPr>
      <t xml:space="preserve"> = Número de registros validados en el Subsistema </t>
    </r>
    <r>
      <rPr>
        <i/>
        <sz val="9"/>
        <color rgb="FF000000"/>
        <rFont val="Calibri"/>
        <family val="2"/>
        <scheme val="minor"/>
      </rPr>
      <t>i</t>
    </r>
    <r>
      <rPr>
        <sz val="9"/>
        <color rgb="FF000000"/>
        <rFont val="Calibri"/>
        <family val="2"/>
        <scheme val="minor"/>
      </rPr>
      <t xml:space="preserve"> del SIAC relacionados con las funciones en gestión de información de la Corporación, en el tiempo t.</t>
    </r>
  </si>
  <si>
    <r>
      <t xml:space="preserve">RTVS </t>
    </r>
    <r>
      <rPr>
        <vertAlign val="subscript"/>
        <sz val="9"/>
        <color rgb="FF000000"/>
        <rFont val="Calibri"/>
        <family val="2"/>
        <scheme val="minor"/>
      </rPr>
      <t>it</t>
    </r>
    <r>
      <rPr>
        <sz val="9"/>
        <color rgb="FF000000"/>
        <rFont val="Calibri"/>
        <family val="2"/>
        <scheme val="minor"/>
      </rPr>
      <t xml:space="preserve"> = Número de registros totales a ser validados por la Corporación en el Subsistema </t>
    </r>
    <r>
      <rPr>
        <i/>
        <sz val="9"/>
        <color rgb="FF000000"/>
        <rFont val="Calibri"/>
        <family val="2"/>
        <scheme val="minor"/>
      </rPr>
      <t>i</t>
    </r>
    <r>
      <rPr>
        <sz val="9"/>
        <color rgb="FF000000"/>
        <rFont val="Calibri"/>
        <family val="2"/>
        <scheme val="minor"/>
      </rPr>
      <t xml:space="preserve"> del SIAC, en el tiempo t.</t>
    </r>
  </si>
  <si>
    <t>i = SIRH, SISAIRE, SNIF, RESPEL, SIUR (RUA).</t>
  </si>
  <si>
    <t>Información reportada por las CAR:</t>
  </si>
  <si>
    <t>Subsistema</t>
  </si>
  <si>
    <t>SIRH</t>
  </si>
  <si>
    <t>SISAIRE</t>
  </si>
  <si>
    <t>SNIF</t>
  </si>
  <si>
    <t>Número de registros reportados en el año (RRS)</t>
  </si>
  <si>
    <t>Número de registros esperados reportados en el año (RES)</t>
  </si>
  <si>
    <t>Porcentaje de actualización y reporte por subsistema (C = B / A) (PARS)</t>
  </si>
  <si>
    <t>RESPEL</t>
  </si>
  <si>
    <t>SIUR (RUA)</t>
  </si>
  <si>
    <t>Número de registros validados al año (RVS)</t>
  </si>
  <si>
    <t>Número de registros totales a ser validados por la Corporación (RTVS)</t>
  </si>
  <si>
    <t>Cuanto más cercano a cien por ciento, mayor es el cumplimiento de los requerimientos de reporte por parte de las Corporaciones Autónomas Regionales a los diferentes subsistemas del SIAC.</t>
  </si>
  <si>
    <t>Se pueden presentar situaciones de orden operativo, político y social que pueden afectar la ejecución de los presupuestos y el cumplimiento de los cronogramas definidos en el Plan de Acción de la Corporación. Pueden existir limitaciones de la información disponible para el cálculo de los indicadores.</t>
  </si>
  <si>
    <r>
      <t>Hoja Metodológica de referencia:</t>
    </r>
    <r>
      <rPr>
        <sz val="9"/>
        <color rgb="FF000000"/>
        <rFont val="Calibri"/>
        <family val="2"/>
        <scheme val="minor"/>
      </rPr>
      <t xml:space="preserve"> MADS (2016). </t>
    </r>
    <r>
      <rPr>
        <i/>
        <sz val="9"/>
        <color rgb="FF000000"/>
        <rFont val="Calibri"/>
        <family val="2"/>
        <scheme val="minor"/>
      </rPr>
      <t>Hoja metodológica de Porcentaje de actualización y reporte de la información en el SIAC (Versión 1.0).</t>
    </r>
    <r>
      <rPr>
        <sz val="9"/>
        <color rgb="FF000000"/>
        <rFont val="Calibri"/>
        <family val="2"/>
        <scheme val="minor"/>
      </rPr>
      <t xml:space="preserve"> Ministerio de Ambiente y Desarrollo Sostenible, DGOAT-SINA.</t>
    </r>
  </si>
  <si>
    <t>Ejecución de Acciones en Educación Ambiental</t>
  </si>
  <si>
    <t>Es el porcentaje de avance en la implementación, por parte de la corporación autónoma regional, de las acciones relacionadas con la Educación Ambiental en el marco del Plan de Acción.</t>
  </si>
  <si>
    <t>El indicador mide el cumplimiento de las metas relacionadas con la educación ambiental, en el marco del Plan de Acción de la Corporación. De esta manera, contribuye a la implementación de Política de Educación Ambiental a nivel regional.</t>
  </si>
  <si>
    <t>Ley 1549 de 2012, Educación Ambiental</t>
  </si>
  <si>
    <t>Política Nacional de Educación Ambiental</t>
  </si>
  <si>
    <t>La Ley 1549 de 2012 define la Educación Ambiental como “un proceso dinámico y participativo, orientado a la formación de personas críticas y reflexivas, con capacidades para comprender las problemáticas ambientales de sus contextos (locales, regionales y nacionales)”.</t>
  </si>
  <si>
    <t>La mencionada Ley, en su artículo 5º., establece como una “responsabilidad de las entidades territoriales y de las Corporaciones Autónomas Regionales y de Desarrollo Sostenible: a) Desarrollar instrumentos técnico-políticos, que contextualicen la política y la adecúen a las necesidades de construcción de una cultura ambiental para el desarrollo sostenible; b) Promover la creación de estrategias económicas, fondos u otros mecanismos de cooperación, que permitan viabilizar la instalación efectiva del tema en el territorio, y c) Generar y apoyar mecanismos para el cumplimiento, seguimiento y control, de las acciones que se implementen en este marco político”.</t>
  </si>
  <si>
    <t>Adicionalmente, el artículo 9º. estipula que todos los sectores e instituciones que conforman el Sistema Nacional Ambiental (SINA), deben participar técnica y financieramente, en: a) el acompañamiento e implementación de los PRAE, de los Proyectos Ciudadanos y Comunitarios de Educación Ambiental (Proceda), y de los Comités Técnicos Interinstitucionales de Educación Ambiental (Cidea); estos últimos, concebidos como mecanismos de apoyo a la articulación e institucionalización del tema y de cualificación de la gestión ambiental del territorio, y b) En la puesta en marcha de las demás estrategias de esta política, en el marco de los propósitos de construcción de un proyecto de sociedad ambientalmente sostenible.</t>
  </si>
  <si>
    <t>El Artículo 2.2.8.6.1.3 del Decreto 1076 de 2015 establece que “las Corporaciones promoverán en los municipios y distritos, programas de educación ambiental y de planificación, acorde con la Constitución, la Ley 99 de 1993, la Ley 152 de 1994 y las normas que las complementen o adicione”.</t>
  </si>
  <si>
    <t>Las principales acciones relacionadas con la Educación Ambiental son las siguientes:</t>
  </si>
  <si>
    <r>
      <t>a)</t>
    </r>
    <r>
      <rPr>
        <sz val="7"/>
        <color rgb="FF000000"/>
        <rFont val="Times New Roman"/>
        <family val="1"/>
      </rPr>
      <t xml:space="preserve">      </t>
    </r>
    <r>
      <rPr>
        <sz val="9"/>
        <color rgb="FF000000"/>
        <rFont val="Calibri"/>
        <family val="2"/>
        <scheme val="minor"/>
      </rPr>
      <t>Participación en los Comités Técnicos Interinstitucionales de Educación Ambiental (Cidea).</t>
    </r>
  </si>
  <si>
    <r>
      <t>b)</t>
    </r>
    <r>
      <rPr>
        <sz val="7"/>
        <color rgb="FF000000"/>
        <rFont val="Times New Roman"/>
        <family val="1"/>
      </rPr>
      <t xml:space="preserve">      </t>
    </r>
    <r>
      <rPr>
        <sz val="9"/>
        <color rgb="FF000000"/>
        <rFont val="Calibri"/>
        <family val="2"/>
        <scheme val="minor"/>
      </rPr>
      <t>Suscripción de acuerdos o alianzas para la implementación de estrategias de educación ambiental.</t>
    </r>
  </si>
  <si>
    <r>
      <t>c)</t>
    </r>
    <r>
      <rPr>
        <sz val="7"/>
        <color rgb="FF000000"/>
        <rFont val="Times New Roman"/>
        <family val="1"/>
      </rPr>
      <t xml:space="preserve">       </t>
    </r>
    <r>
      <rPr>
        <sz val="9"/>
        <color rgb="FF000000"/>
        <rFont val="Calibri"/>
        <family val="2"/>
        <scheme val="minor"/>
      </rPr>
      <t>Acompañamiento e implementación de los PRAE.</t>
    </r>
  </si>
  <si>
    <r>
      <t>d)</t>
    </r>
    <r>
      <rPr>
        <sz val="7"/>
        <color rgb="FF000000"/>
        <rFont val="Times New Roman"/>
        <family val="1"/>
      </rPr>
      <t xml:space="preserve">      </t>
    </r>
    <r>
      <rPr>
        <sz val="9"/>
        <color rgb="FF000000"/>
        <rFont val="Calibri"/>
        <family val="2"/>
        <scheme val="minor"/>
      </rPr>
      <t>Acompañamiento de los Proyectos Ciudadanos y Comunitarios de Educación Ambiental (Proceda).</t>
    </r>
  </si>
  <si>
    <r>
      <t>e)</t>
    </r>
    <r>
      <rPr>
        <sz val="7"/>
        <color rgb="FF000000"/>
        <rFont val="Times New Roman"/>
        <family val="1"/>
      </rPr>
      <t xml:space="preserve">      </t>
    </r>
    <r>
      <rPr>
        <sz val="9"/>
        <color rgb="FF000000"/>
        <rFont val="Calibri"/>
        <family val="2"/>
        <scheme val="minor"/>
      </rPr>
      <t>Acciones específicas de educación ambiental a cargo de las autoridades ambientales regionales.</t>
    </r>
  </si>
  <si>
    <t>El listado anterior es indicativo. Las acciones a ser realizadas por las Corporaciones deben corresponder a las competencias otorgadas por la normatividad y en el marco de sus funciones misionales.</t>
  </si>
  <si>
    <t>Ejecución de acciones relacionadas con la Educación Ambiental</t>
  </si>
  <si>
    <r>
      <t xml:space="preserve">ETAEA </t>
    </r>
    <r>
      <rPr>
        <vertAlign val="subscript"/>
        <sz val="9"/>
        <color rgb="FF000000"/>
        <rFont val="Calibri"/>
        <family val="2"/>
        <scheme val="minor"/>
      </rPr>
      <t>t</t>
    </r>
    <r>
      <rPr>
        <sz val="9"/>
        <color rgb="FF000000"/>
        <rFont val="Calibri"/>
        <family val="2"/>
        <scheme val="minor"/>
      </rPr>
      <t xml:space="preserve"> = Ejecución total de acciones en Educación Ambiental, en el tiempo t.</t>
    </r>
  </si>
  <si>
    <r>
      <t xml:space="preserve">EAEA </t>
    </r>
    <r>
      <rPr>
        <vertAlign val="subscript"/>
        <sz val="9"/>
        <color rgb="FF000000"/>
        <rFont val="Calibri"/>
        <family val="2"/>
        <scheme val="minor"/>
      </rPr>
      <t>1t</t>
    </r>
    <r>
      <rPr>
        <sz val="9"/>
        <color rgb="FF000000"/>
        <rFont val="Calibri"/>
        <family val="2"/>
        <scheme val="minor"/>
      </rPr>
      <t xml:space="preserve"> = Ejecución de acción </t>
    </r>
    <r>
      <rPr>
        <i/>
        <sz val="9"/>
        <color rgb="FF000000"/>
        <rFont val="Calibri"/>
        <family val="2"/>
        <scheme val="minor"/>
      </rPr>
      <t>1</t>
    </r>
    <r>
      <rPr>
        <sz val="9"/>
        <color rgb="FF000000"/>
        <rFont val="Calibri"/>
        <family val="2"/>
        <scheme val="minor"/>
      </rPr>
      <t xml:space="preserve"> relacionada con la Educación Ambiental, en el tiempo t.</t>
    </r>
  </si>
  <si>
    <r>
      <t xml:space="preserve">EAEA </t>
    </r>
    <r>
      <rPr>
        <vertAlign val="subscript"/>
        <sz val="9"/>
        <color rgb="FF000000"/>
        <rFont val="Calibri"/>
        <family val="2"/>
        <scheme val="minor"/>
      </rPr>
      <t>2t</t>
    </r>
    <r>
      <rPr>
        <sz val="9"/>
        <color rgb="FF000000"/>
        <rFont val="Calibri"/>
        <family val="2"/>
        <scheme val="minor"/>
      </rPr>
      <t xml:space="preserve"> = Ejecución de acción </t>
    </r>
    <r>
      <rPr>
        <i/>
        <sz val="9"/>
        <color rgb="FF000000"/>
        <rFont val="Calibri"/>
        <family val="2"/>
        <scheme val="minor"/>
      </rPr>
      <t>2</t>
    </r>
    <r>
      <rPr>
        <sz val="9"/>
        <color rgb="FF000000"/>
        <rFont val="Calibri"/>
        <family val="2"/>
        <scheme val="minor"/>
      </rPr>
      <t xml:space="preserve"> relacionada con la Educación Ambiental, en el tiempo t.</t>
    </r>
  </si>
  <si>
    <r>
      <t xml:space="preserve">EAEU </t>
    </r>
    <r>
      <rPr>
        <vertAlign val="subscript"/>
        <sz val="9"/>
        <color rgb="FF000000"/>
        <rFont val="Calibri"/>
        <family val="2"/>
        <scheme val="minor"/>
      </rPr>
      <t>nt</t>
    </r>
    <r>
      <rPr>
        <sz val="9"/>
        <color rgb="FF000000"/>
        <rFont val="Calibri"/>
        <family val="2"/>
        <scheme val="minor"/>
      </rPr>
      <t xml:space="preserve"> = Ejecución de acción </t>
    </r>
    <r>
      <rPr>
        <i/>
        <sz val="9"/>
        <color rgb="FF000000"/>
        <rFont val="Calibri"/>
        <family val="2"/>
        <scheme val="minor"/>
      </rPr>
      <t>n</t>
    </r>
    <r>
      <rPr>
        <sz val="9"/>
        <color rgb="FF000000"/>
        <rFont val="Calibri"/>
        <family val="2"/>
        <scheme val="minor"/>
      </rPr>
      <t xml:space="preserve"> relacionada con la Educación Ambiental, en el tiempo t.</t>
    </r>
  </si>
  <si>
    <r>
      <t>a = ponderador de EAEA</t>
    </r>
    <r>
      <rPr>
        <vertAlign val="subscript"/>
        <sz val="9"/>
        <color rgb="FF000000"/>
        <rFont val="Calibri"/>
        <family val="2"/>
        <scheme val="minor"/>
      </rPr>
      <t>1</t>
    </r>
  </si>
  <si>
    <r>
      <t>b = ponderador de EAEA</t>
    </r>
    <r>
      <rPr>
        <vertAlign val="subscript"/>
        <sz val="9"/>
        <color rgb="FF000000"/>
        <rFont val="Calibri"/>
        <family val="2"/>
        <scheme val="minor"/>
      </rPr>
      <t>2</t>
    </r>
  </si>
  <si>
    <r>
      <t>z = ponderador de EAEA</t>
    </r>
    <r>
      <rPr>
        <vertAlign val="subscript"/>
        <sz val="9"/>
        <color rgb="FF000000"/>
        <rFont val="Calibri"/>
        <family val="2"/>
        <scheme val="minor"/>
      </rPr>
      <t>n</t>
    </r>
  </si>
  <si>
    <t>Ejecución presupuestal de acciones relacionadas con la Educación Ambiental</t>
  </si>
  <si>
    <r>
      <t xml:space="preserve">EPAEA </t>
    </r>
    <r>
      <rPr>
        <vertAlign val="subscript"/>
        <sz val="9"/>
        <color rgb="FF000000"/>
        <rFont val="Calibri"/>
        <family val="2"/>
        <scheme val="minor"/>
      </rPr>
      <t>t</t>
    </r>
    <r>
      <rPr>
        <sz val="9"/>
        <color rgb="FF000000"/>
        <rFont val="Calibri"/>
        <family val="2"/>
        <scheme val="minor"/>
      </rPr>
      <t xml:space="preserve"> = Ejecución presupuestal de acciones en Educación Ambiental, en el año t.</t>
    </r>
  </si>
  <si>
    <r>
      <t xml:space="preserve">CAEA </t>
    </r>
    <r>
      <rPr>
        <vertAlign val="subscript"/>
        <sz val="9"/>
        <color rgb="FF000000"/>
        <rFont val="Calibri"/>
        <family val="2"/>
        <scheme val="minor"/>
      </rPr>
      <t>it</t>
    </r>
    <r>
      <rPr>
        <sz val="9"/>
        <color rgb="FF000000"/>
        <rFont val="Calibri"/>
        <family val="2"/>
        <scheme val="minor"/>
      </rPr>
      <t xml:space="preserve"> = Compromisos correspondientes a la acción i en Educación Ambiental, en el año t.</t>
    </r>
  </si>
  <si>
    <r>
      <t xml:space="preserve">PDAEA </t>
    </r>
    <r>
      <rPr>
        <vertAlign val="subscript"/>
        <sz val="9"/>
        <color rgb="FF000000"/>
        <rFont val="Calibri"/>
        <family val="2"/>
        <scheme val="minor"/>
      </rPr>
      <t>it</t>
    </r>
    <r>
      <rPr>
        <sz val="9"/>
        <color rgb="FF000000"/>
        <rFont val="Calibri"/>
        <family val="2"/>
        <scheme val="minor"/>
      </rPr>
      <t xml:space="preserve"> = Presupuesto definitivo a la acción i en Educación Ambiental, en el año t.</t>
    </r>
  </si>
  <si>
    <t>Número de acciones relacionadas con Educación Ambiental</t>
  </si>
  <si>
    <t>Ejecución física y financiera de acciones relacionadas con la Educación Ambiental</t>
  </si>
  <si>
    <t>Cálculo de la ejecución física y financiera de acciones relacionadas con la Educación Ambiental</t>
  </si>
  <si>
    <t>Ejecución Anual (%)</t>
  </si>
  <si>
    <t>Cuanto más cercano a cien por ciento, mayor es el cumplimiento de las metas relacionadas con la Educación Ambiental, en el marco del Plan de Acción de la Corporación.</t>
  </si>
  <si>
    <r>
      <t>Hoja Metodológica de referencia:</t>
    </r>
    <r>
      <rPr>
        <sz val="9"/>
        <color rgb="FF000000"/>
        <rFont val="Calibri"/>
        <family val="2"/>
        <scheme val="minor"/>
      </rPr>
      <t xml:space="preserve"> MADS (2016). </t>
    </r>
    <r>
      <rPr>
        <i/>
        <sz val="9"/>
        <color rgb="FF000000"/>
        <rFont val="Calibri"/>
        <family val="2"/>
        <scheme val="minor"/>
      </rPr>
      <t>Hoja metodológica Ejecución de Acciones en Educación Ambiental (Versión 1.0).</t>
    </r>
    <r>
      <rPr>
        <sz val="9"/>
        <color rgb="FF000000"/>
        <rFont val="Calibri"/>
        <family val="2"/>
        <scheme val="minor"/>
      </rPr>
      <t xml:space="preserve"> Ministerio de Ambiente y Desarrollo Sostenible MADS, DGOAT-SINA.</t>
    </r>
  </si>
  <si>
    <t>1.</t>
  </si>
  <si>
    <t>Porcentaje de avance en la formulación y/o ajuste de los Planes de Ordenación y Manejo de Cuencas (POMCAS), Planes de Manejo de Acuíferos (PMA) y Planes de Manejo de Microcuencas (PMM)</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</si>
  <si>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</si>
  <si>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</si>
  <si>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</si>
  <si>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</si>
  <si>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</si>
  <si>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</si>
  <si>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</si>
  <si>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</si>
  <si>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</si>
  <si>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</si>
  <si>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</si>
  <si>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</si>
  <si>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</si>
  <si>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</si>
  <si>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</si>
  <si>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</si>
  <si>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</si>
  <si>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</si>
  <si>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</si>
  <si>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</si>
  <si>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</si>
  <si>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</si>
  <si>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</si>
  <si>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</si>
  <si>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</si>
  <si>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</si>
  <si>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Marinas, costeras  e Insulares (*)</t>
  </si>
  <si>
    <t>Porcentaje de sectores con acompañamiento para la reconversión hacia sistemas sostenibles de producción (PSA = SA / SPA)</t>
  </si>
  <si>
    <t>Sectores acompañados en la reconversión hacia sistemas sostenibles de producción (SA)</t>
  </si>
  <si>
    <t>BORRE O AGREGUE REDES</t>
  </si>
  <si>
    <t>Porcentaje de información validada por la Corporación (PARSIV ) (C = B / A)</t>
  </si>
  <si>
    <t>Observación</t>
  </si>
  <si>
    <t>No. Hoja</t>
  </si>
  <si>
    <t>Indicador</t>
  </si>
  <si>
    <t>Observaciones para la mejora de la aplicación de los indicadores</t>
  </si>
  <si>
    <t xml:space="preserve">Año </t>
  </si>
  <si>
    <t>VOLVER AL INDICE</t>
  </si>
  <si>
    <t>Área (Has)</t>
  </si>
  <si>
    <t>Hoja de fórmulas</t>
  </si>
  <si>
    <t>Relación de páramos delimitados por el MADS, con zonificación y régimen de usos adoptados por la CAR</t>
  </si>
  <si>
    <t>Nombre del páramo</t>
  </si>
  <si>
    <t>Estado de avance</t>
  </si>
  <si>
    <t>* Valor Acumulado</t>
  </si>
  <si>
    <t>Variable  (*)</t>
  </si>
  <si>
    <t>*</t>
  </si>
  <si>
    <t>Gestión del recurso hídrico en áreas urbanas</t>
  </si>
  <si>
    <t>Promedio de Planes en ejecución</t>
  </si>
  <si>
    <t>Inscrita en el RUNAP</t>
  </si>
  <si>
    <t>Inscritas en el RUNAP</t>
  </si>
  <si>
    <t>Resumen del Indicador</t>
  </si>
  <si>
    <t>Meta de áreas inscritas en el RUNAP (ha)</t>
  </si>
  <si>
    <t>Superficie total de áreas protegidas regionales declaradas, homologadas o recategorizadas, inscritas en el RUNAP</t>
  </si>
  <si>
    <t xml:space="preserve">Meta total de nuevas áreas protegidas a ser inscritas en el RUNAP en el cuatrienio (ha) </t>
  </si>
  <si>
    <t>Superfice de avance anual (ha)</t>
  </si>
  <si>
    <t>Avance Cuatrienal (%)</t>
  </si>
  <si>
    <t>Ponderador acumulado esperado en cada fase</t>
  </si>
  <si>
    <t>Ponderaciones de referencia</t>
  </si>
  <si>
    <t>Formulación</t>
  </si>
  <si>
    <t>Aprestamiento</t>
  </si>
  <si>
    <t>Logística</t>
  </si>
  <si>
    <t>Oficina</t>
  </si>
  <si>
    <t>Preparación</t>
  </si>
  <si>
    <t>Avance (Ponderación acumulada)</t>
  </si>
  <si>
    <t>Meta de avance anual (%)</t>
  </si>
  <si>
    <t>Determinación de la Meta de Avance Anual</t>
  </si>
  <si>
    <t>Hectareas</t>
  </si>
  <si>
    <t>Avance esperado (Ponderación acumulada)</t>
  </si>
  <si>
    <t>Meta de avance anual (ha)</t>
  </si>
  <si>
    <t>Meta de avance anual ponderada (ha)</t>
  </si>
  <si>
    <t>Descripción</t>
  </si>
  <si>
    <t xml:space="preserve">Definición de la unidad objeto de ordenación forestal
Asignación de recursos
Inicio del proceso pre y contractual
Conformación del equipo de trabajo  </t>
  </si>
  <si>
    <t>Actividades de referencia  en el proceso de formulación, implementación y seguimiento del Plan de Ordenación Forestal</t>
  </si>
  <si>
    <t>Consulta, validación y digitalización de información secundaria
Procesamiento e interpretación de imágenes satelitales
Generación de información cartográfica preliminar
Definición de metodología para levantamiento de información primaria</t>
  </si>
  <si>
    <t>Socialización y acuerdos con actores regionales y locales
Chequeo cartografía en campo
Desarrollo del premuestreo, ajuste y realización del inventario forestal
Desarrollo del componente fauna
Desarrollo del componente socieconomico
Desarrollo del componente suelos</t>
  </si>
  <si>
    <t xml:space="preserve">Procesamiento y análisis de información primaria
Propuesta zonificación inicial de la UOF
Propuesta de zonificación de las áreas forestales que componen la UOF
 Formulación del POF para cada área forestal de la UOF
</t>
  </si>
  <si>
    <t>Socialización versión premiminar de los POF
Armonización de los POF con actores locales y regionales
Edición y ajustes de los POF</t>
  </si>
  <si>
    <t>Aprobación de los POF por el Consejo Directivo de la autoridad ambiental competente</t>
  </si>
  <si>
    <t>Aprobación</t>
  </si>
  <si>
    <t>Seguimiento de permisos de vertimiento de agua</t>
  </si>
  <si>
    <t>Porcentaje de autorizaciones ambientales con seguimiento (promedio simple)</t>
  </si>
  <si>
    <t>Cálculo del indicador global</t>
  </si>
  <si>
    <t>% Seguimiento</t>
  </si>
  <si>
    <t>Seguimiento ponderado</t>
  </si>
  <si>
    <t>Tiempo Promedio</t>
  </si>
  <si>
    <t>Meta anual</t>
  </si>
  <si>
    <t>% Meta alcanzada</t>
  </si>
  <si>
    <t>Porcentaje de actualización y reporte de la información al SIAC (Promedio)</t>
  </si>
  <si>
    <t>NO APLICA</t>
  </si>
  <si>
    <t>SI APLICA</t>
  </si>
  <si>
    <t>NO SE REPORTA</t>
  </si>
  <si>
    <t>SI SE REPORTA</t>
  </si>
  <si>
    <t xml:space="preserve"> ¿El Indicador aplica por las especificades ambientales regionales? </t>
  </si>
  <si>
    <t>Acuerdo Consejo Directivo</t>
  </si>
  <si>
    <t xml:space="preserve">Observaciones </t>
  </si>
  <si>
    <t>Acuerdo</t>
  </si>
  <si>
    <t>Programas</t>
  </si>
  <si>
    <t>Programa o Proyecto asociado</t>
  </si>
  <si>
    <t>PAFP t =</t>
  </si>
  <si>
    <t xml:space="preserve">MATRIZ DE SEGUIMIENTO A LA GESTIÓN Y DE AVANCE EN LAS METAS FÍSICAS Y FINANCIERAS DEL PLAN DE ACCIÓN </t>
  </si>
  <si>
    <t>DEFINICIONES</t>
  </si>
  <si>
    <t xml:space="preserve">RECURSOS VIGENCIA :  </t>
  </si>
  <si>
    <t>NIVEL RENTISTICO</t>
  </si>
  <si>
    <t>Convenios</t>
  </si>
  <si>
    <t>Multas y sanciones</t>
  </si>
  <si>
    <t>Donaciones</t>
  </si>
  <si>
    <t>CONCEPTO</t>
  </si>
  <si>
    <t>Nombre de la Corporación</t>
  </si>
  <si>
    <t>Corporación Autónoma Regional del Alto Magdalena - CAM</t>
  </si>
  <si>
    <t>Corporación Autónoma Regional de Cundinamarca – CAR</t>
  </si>
  <si>
    <t>Corporación Autónoma Regional del Canal del Dique – CARDIQUE</t>
  </si>
  <si>
    <t>Corporación Autónoma Regional de Sucre – CARSUCRE</t>
  </si>
  <si>
    <t>Corporación Autónoma Regional de Santander – CAS</t>
  </si>
  <si>
    <t>Corporación para el Desarrollo Sostenible del Norte y el Oriente Amazónico – CDA</t>
  </si>
  <si>
    <t>Corporación Autónoma Regional para la Defensa de la Meseta de Bucaramanga – CDMB</t>
  </si>
  <si>
    <t>Corporación Autónoma Regional para el Desarrollo Sostenible del Chocó – CODECHOCÓ</t>
  </si>
  <si>
    <t>Corporación para el Desarrollo Sostenible del Archipiélago de San Andrés, Providencia y Santa Catalina – CORALINA</t>
  </si>
  <si>
    <t>Corporación Autónoma Regional del Centro de Antioquia – CORANTIOQUIA</t>
  </si>
  <si>
    <t>Corporación para el Desarrollo Sostenible del Área de Manejo Especial de La Macarena – CORMACARENA</t>
  </si>
  <si>
    <t>Corporación Autónoma Regional de las Cuencas de los Ríos Negro y Nare – CORNARE</t>
  </si>
  <si>
    <t>Corporación Autónoma Regional del Magdalena – CORPAMAG</t>
  </si>
  <si>
    <t>Corporación para el Desarrollo Sostenible del Sur de la Amazonia – CORPOAMAZONIA</t>
  </si>
  <si>
    <t>Corporación Autónoma Regional de Boyacá – CORPOBOYACÁ</t>
  </si>
  <si>
    <t>Corporación Autónoma Regional de Caldas – CORPOCALDAS</t>
  </si>
  <si>
    <t>Corporación Autónoma Regional del Cesar – CORPOCESAR</t>
  </si>
  <si>
    <t>Corporación Autónoma Regional de Chivor – CORPOCHIVOR</t>
  </si>
  <si>
    <t>Corporación Autónoma Regional de La Guajira – CORPOGUAJIRA</t>
  </si>
  <si>
    <t>Corporación Autónoma Regional del Guavio – CORPOGUAVIO</t>
  </si>
  <si>
    <t>Corporación para el Desarrollo Sostenible de La Mojana y El San Jorge – CORPOMOJANA</t>
  </si>
  <si>
    <t>Corporación Autónoma Regional de Nariño – CORPONARIÑO</t>
  </si>
  <si>
    <t>Corporación Autónoma Regional de la Frontera Nororiental – CORPONOR</t>
  </si>
  <si>
    <t>Corporación Autónoma Regional de la Orinoquia – CORPORINOQUIA</t>
  </si>
  <si>
    <t>Corporación para el Desarrollo Sostenible del Urabá – CORPOURABA</t>
  </si>
  <si>
    <t>Corporación Autónoma Regional del Tolima – CORTOLIMA</t>
  </si>
  <si>
    <t>Corporación Autónoma Regional del Atlántico – CRA</t>
  </si>
  <si>
    <t>Corporación Autónoma Regional del Cauca – CRC</t>
  </si>
  <si>
    <t>Corporación Autónoma Regional del Quindío – CRQ</t>
  </si>
  <si>
    <t>Corporación Autónoma Regional del Sur de Bolívar – CSB</t>
  </si>
  <si>
    <t>Corporación Autónoma Regional del Valle del Cauca – CVC</t>
  </si>
  <si>
    <t>Corporación Autónoma Regional de los Valles del Sinú y del San Jorge – CVS</t>
  </si>
  <si>
    <t>2016-I</t>
  </si>
  <si>
    <t>2016-II</t>
  </si>
  <si>
    <t>2017-I</t>
  </si>
  <si>
    <t>2017-II</t>
  </si>
  <si>
    <t>2018-I</t>
  </si>
  <si>
    <t>2018-II</t>
  </si>
  <si>
    <t>2019-I</t>
  </si>
  <si>
    <t>2019-II</t>
  </si>
  <si>
    <t>Periodo a reportar</t>
  </si>
  <si>
    <t>Nombre de la persona responsable del reporte</t>
  </si>
  <si>
    <t>PERIODO REPORTADO:</t>
  </si>
  <si>
    <t xml:space="preserve">ANEXO NO. 3. MATRIZ DE REPORTE DE AVANCE DE INDICADORES MÍNIMOS DE GESTIÓN INCORPORADOS EN LA RESOLUCIÓN 667 DE 2016  </t>
  </si>
  <si>
    <t>CORPORACIÓN AUTÓMA REGIONAL DE XXXXX</t>
  </si>
  <si>
    <t>(1)
ESTRUCTURA RENTISTICA</t>
  </si>
  <si>
    <t>(2)
CONCEPTO</t>
  </si>
  <si>
    <t>(3)
PROYECTADO PLAN FINANCIERO</t>
  </si>
  <si>
    <t>MODIFICACIONES</t>
  </si>
  <si>
    <t xml:space="preserve">(6)
APROPIACIÓN FINAL
(3+4-5)
</t>
  </si>
  <si>
    <t>DISTRIBUCIÓN</t>
  </si>
  <si>
    <t>(11)
DERECHOS POR COBRAR</t>
  </si>
  <si>
    <t>(12)
RECAUDO
EFECTIVO</t>
  </si>
  <si>
    <t>(13)
% DE RECAUDO</t>
  </si>
  <si>
    <t>(14)
OBSERVACIONES</t>
  </si>
  <si>
    <t>DEFINICIÓN</t>
  </si>
  <si>
    <t>SOPORTE LEGAL</t>
  </si>
  <si>
    <t>NIVEL ESTRUCTURAL</t>
  </si>
  <si>
    <t>SUBNIVEL RENTISTICO</t>
  </si>
  <si>
    <t>NIVEL 1</t>
  </si>
  <si>
    <t>NIVEL 2</t>
  </si>
  <si>
    <t>NIVEL 3</t>
  </si>
  <si>
    <t>NIVEL 4</t>
  </si>
  <si>
    <t>NIVEL 5</t>
  </si>
  <si>
    <t>(4)
ADICIÓN</t>
  </si>
  <si>
    <t>(5)
REDUCCIÓN</t>
  </si>
  <si>
    <t>(7)
FUNCIONAMIENTO</t>
  </si>
  <si>
    <t>(8)
INVERSIÓN</t>
  </si>
  <si>
    <t>(9)
FCA</t>
  </si>
  <si>
    <t>(10)
SERVICIO A LA DEUDA</t>
  </si>
  <si>
    <t>1</t>
  </si>
  <si>
    <t>Ingresos</t>
  </si>
  <si>
    <t>-</t>
  </si>
  <si>
    <t>Los ingresos son recursos monetarios recaudados en una vigencia fiscal por quienes corresponda administrarlos según la ley.
Se consideran ingresos las entradas de caja efectivas, en moneda nacional, que incrementan las disponibilidades para el gasto. Así, se deben cumplir las siguientes condiciones para reconocer una transacción como ingreso:
1.	Afectación efectiva de caja. Los ingresos se reconocen bajo el principio de caja. Es decir, cuando hay desembolso de los recursos a favor de las entidades beneficiarias.
2.	La afectación de caja se produce en moneda nacional.
3.	Respaldo de un gasto. No se reconocen como ingresos aquellas entradas efectivas de caja que no están habilitadas para realizar gastos.</t>
  </si>
  <si>
    <t>01</t>
  </si>
  <si>
    <t>Ingresos Corrientes</t>
  </si>
  <si>
    <t>Se reconocen por su regularidad, además se caracterizan porque: i) su base de cálculo y su trayectoria histórica permiten estimar con cierto grado de certidumbre el volumen de ingresos; ii) si bien pueden constituir una base aproximada, esta sirve de referente para la elaboración del presupuesto anual.</t>
  </si>
  <si>
    <t>Ingresos tributarios</t>
  </si>
  <si>
    <t>Son aquellos establecidos como impuestos y estampillas por la ley. Estos representan la obligación de hacer un pago, sin que exista una retribución particular por parte del Estado.</t>
  </si>
  <si>
    <t>Corte Constitucional, Sentencia C-545/1994.</t>
  </si>
  <si>
    <t>Impuestos directos</t>
  </si>
  <si>
    <t>Son aquellos que gravan directamente los ingresos o el patrimonio de las personas naturales y jurídicas, es decir, recaen sobre la capacidad económica de los sujetos. En los impuestos directos se identifica al contribuyente respectivo, y se conoce su capacidad de pago,  mediante las informaciones relativas a sus rentas y patrimonio.</t>
  </si>
  <si>
    <t>Corte Constitucional, Sentencia C- 426/2005.</t>
  </si>
  <si>
    <t>Sobretasa ambiental - Peajes</t>
  </si>
  <si>
    <t xml:space="preserve">la Sobretasa Ambiental se creó como un mecanismo de compensación a la afectación y deterioro derivado de las vías del orden nacional actualmente construidas y que llegaren a construirse, próximas o situadas en Areas de Conservación y Protección Municipal, sitios de Ramsar o Humedales de Importancia Internacional definidos en la Ley 357 de 1997 y Reservas de Biosfera, así como sus respectivas Zonas de Amortiguación de conformidad con los criterios técnicos que para el efecto establezca el Ministerio de Ambiente, Vivienda y Desarrollo Territorial. </t>
  </si>
  <si>
    <t>Ley 981 de 2005 modificada por Ley 1718 de 2014 y Ley 1753 de 2015</t>
  </si>
  <si>
    <t>Sobretasa ambiental - Peajes (vigencia actual)</t>
  </si>
  <si>
    <t>02</t>
  </si>
  <si>
    <t>Sobretasa ambiental - Peajes (vigencia anterior)</t>
  </si>
  <si>
    <t>Participación de intereses de mora sobre la sobretasa ambiental-peajes</t>
  </si>
  <si>
    <t>Son las transferencias de recursos de los intereses recaudados por la mora en el pago de la sobretasa ambiental. Los intereses que se causen por mora en el pago del Impuesto Predial Unificado, también se causan para el pago y transferencia de la sobretasa ambiental.</t>
  </si>
  <si>
    <t>Decreto Reglamentario 1339 de 1994, artículo 2.</t>
  </si>
  <si>
    <t>Participación de intereses de mora sobre la sobretasa ambiental-peajes (vigencia actual)</t>
  </si>
  <si>
    <t>Participación de intereses de mora sobre la sobretasa ambiental-peajes (vigencia anterior)</t>
  </si>
  <si>
    <t>Ingresos no tributarios</t>
  </si>
  <si>
    <t>Son los ingresos corrientes que por ley no están definidos como impuestos y comprenderán las tasas y las multas. Los ingresos no tributarios se clasifican en: 
1) Contribuciones 
2) Tasas y derechos administrativos 
3) Multas, sanciones e intereses de mora 
4) Derechos económicos por uso de recursos naturales 
5) Venta de bienes y servicios 
6) Transferencias corrientes
7) Participación y derechos de monopolio</t>
  </si>
  <si>
    <t>Decreto 111 de 1996, art. 27</t>
  </si>
  <si>
    <t>Contribuciones</t>
  </si>
  <si>
    <t xml:space="preserve">Las contribuciones son “las cargas fiscales al patrimonio particular, sustentadas en la potestad tributaria del Estado”. Las contribuciones corresponden a “la recuperación de los costos de los servicios que les presten o participación en los beneficios que les proporcionen”. El principio de legalidad del tributo se extiende a las contribuciones, razón por cual y como establece la Constitución Política, el método de definición de costos y beneficios y su forma de reparto deben ser definidos por Ley. Asimismo, la ley, ordenanza o acuerdo, debe definir los sujetos pasivos y activos, y la base gravable aplicable a la contribución. Sin embargo, la ley puede dar potestad administrativa a las autoridades para que fijen la tarifa que cobren a los contribuyentes. La unica excepción al principio de legalidad del tributo son las contribuciones especiales, las cuales no están definidas como contribuciones, pero de acuerdo con sentencia emitida por la Corte Constitucional, se ajusta a su definición.
</t>
  </si>
  <si>
    <t xml:space="preserve">Corte Constitucional, Sentencia C-545/1994.
Constitución política Art. 338 </t>
  </si>
  <si>
    <t>Contribuciones diversas</t>
  </si>
  <si>
    <t>Las contribuciones diversas comprenden los ingresos por concepto de las demás contribuciones que no se clasifican dentro de las demás categorías de contribuciones descritas anteriormente, es decir, a las contribuciones sociales 1-01-02-01-001, contribuciones inherentes a la nómina 1-01-02-01-002, contribuciones especiales 1-01-02-01-003, contribuciones parafiscales, agropecuarias y pesqueras 1-01-02-01-004.</t>
  </si>
  <si>
    <t>Contribución sector eléctrico</t>
  </si>
  <si>
    <t>Son los recursos por contribución del sector eléctrico a las que se refiere el artículo 45 de la Ley 99 de 1993. De acuerdo con este artículo, las empresas generadoras de energía hidroeléctrica cuya potencia nominal supera los 10.000 kilovatios, deben transferir el 6% de las ventas brutas de energia por generación propia de acuerdo con las distribuciones establecidas por la ley. En el caso de centrales térmicas el porcentaje de los recursos a transferir es del 4%. Los destinatarios de estos recursos son: las Corporaciones Autonómas Regionales o los Parques Nacionales Naturales que tengan jurisdicción en el área donde se encuentra localizada la cuenca hidrográfica y del área de influencia del proyecto o el área donde este ubicada la central térmica; y los municipios y distritos localizados de la cuenca que surte el embalse de las generadoras de energía hidroeléctrica o el municipio donde este ubicada la central térmica. COMPLEMENTAR PLAN DE DESARROLLO ART.289 DE 2019</t>
  </si>
  <si>
    <t xml:space="preserve"> Ley 99 de 1993, art. 45</t>
  </si>
  <si>
    <t>Contribución sector eléctrico - Hidroeléctrica</t>
  </si>
  <si>
    <t>Contribución sector eléctrico - Hidroeléctrica (vigencia actual)</t>
  </si>
  <si>
    <t>Contribución sector eléctrico - Hidroeléctrica (vigencia anterior)</t>
  </si>
  <si>
    <t>Contribución sector eléctrico - Termoeléctrica</t>
  </si>
  <si>
    <t>Contribución sector eléctrico - Termoeléctrica (vigencia actual)</t>
  </si>
  <si>
    <t>Contribución sector eléctrico - Termoeléctrica (vigencia anterior)</t>
  </si>
  <si>
    <t>03</t>
  </si>
  <si>
    <t>Contribución sector eléctrico - Energia Alternativa</t>
  </si>
  <si>
    <t>Contribución sector eléctrico - Energia Alternativa (vigencia actual)</t>
  </si>
  <si>
    <t>Contribución sector eléctrico - Energia Alternativa (vigencia anterior)</t>
  </si>
  <si>
    <t>04</t>
  </si>
  <si>
    <t>Participación de intereses de mora sobre contribución sector eléctrico</t>
  </si>
  <si>
    <t>Participación de intereses de mora sobre contribución sector eléctrico (vigencia actual)</t>
  </si>
  <si>
    <t>Participación de intereses de mora sobre contribución sector eléctrico (vigencia anterior)</t>
  </si>
  <si>
    <t>Tasas y derechos administrativos</t>
  </si>
  <si>
    <t>Tasas</t>
  </si>
  <si>
    <t>Tasas retributivas y compensatorias</t>
  </si>
  <si>
    <t>Tasa retributiva</t>
  </si>
  <si>
    <t xml:space="preserve">Corresponden a las tasas retributivas por la utilización directa o indirecta de la atmósfera, del agua y del suelo, para introducir o arrojar desechos o desperdicios agrícolas, mineros o industriales, aguas negras o servidas de cualquier origen, humos, vapores y sustancias nocivas que sean resultado de actividades antrópicas o propiciadas por el hombre, o actividades económicas o de servicio, sean o no lucrativas. También a las tasas para compensar los gastos de mantenimiento de la renovabilidad de los recursos naturales renovables.  </t>
  </si>
  <si>
    <t>Ley 99 de 1993, art. 42. Decreto 1390 de 2018. Decreto 1272 de 2016</t>
  </si>
  <si>
    <t>Tasa retributiva (vigencia actual)</t>
  </si>
  <si>
    <t>Tasa retributiva (vigencia anterior)</t>
  </si>
  <si>
    <t>Tasa por el uso del agua</t>
  </si>
  <si>
    <t>Recursos recibidos por concepto del uso y aprovechamiento que hacen las personas naturales, jurídicas, públicas o privadas, de las aguas que componen los recursos naturales renovables asociados a cualquier área del Sistema de Parques Nacionales Naturales. Estos recursos, están destinados por Ley al pago de los gastos de protección y renovación de los recursos hídricos.</t>
  </si>
  <si>
    <t>Ley 99 de 1993, art. 43, reglamentada por el Decreto Ley 155 de 2004</t>
  </si>
  <si>
    <t>Tasa por el uso del agua (vigencia actual)</t>
  </si>
  <si>
    <t>Tasa por el uso del agua (vigencia anterior)</t>
  </si>
  <si>
    <t>Tasa de aprovechamiento Forestal</t>
  </si>
  <si>
    <t>Tasa de aprovechamiento Forestal (vigencia actual)</t>
  </si>
  <si>
    <t>Tasa de aprovechamiento Forestal (vigencia anterior)</t>
  </si>
  <si>
    <t>Tasa compensatoria por caza de Fauna Silvestre</t>
  </si>
  <si>
    <t>se dirige a las autoridades ambientales competentes a que se refiere el artículo 2.2.9.10.1 .3, y a
léls personas naturales o jurídicas que cacen la fauna silvestre nativa en el país, en adelante denominadas usuarios</t>
  </si>
  <si>
    <t>Decreto 1272 de 2016, adiciona un capítulo al Título 9 de la Parte 2 del Libro 2 del Decreto 1076 de 2015, destinarán a la protección y renovación del recurso fauna silvestre, lo cual comprende actividades tales como la formulación e implementación de planes y programas de conservación y de uso
sostenible de especies animales silvestres, la repoblación, el control poblacional, estrategias para el control al tráFico ilegal, la restauración de áreas de importancia faunística, entre otras, así como el monitoreo y la elaboración de estudios de investigación básica y aplicada, estas últimas prioritarias para efectos de la inversión de la tasa, teniendo en cuenta las directrices del Ministerio de Ambiente y Desarrollo Sostenible</t>
  </si>
  <si>
    <t>Tasa compensatoria por caza de Fauna Silvestre (vigencia actual)</t>
  </si>
  <si>
    <t>Tasa compensatoria por caza de Fauna Silvestre (vigencia anterior)</t>
  </si>
  <si>
    <t>05</t>
  </si>
  <si>
    <t>Otras tasas</t>
  </si>
  <si>
    <t>Otras tasas (vigencia actual)</t>
  </si>
  <si>
    <t>Otras tasas (vigencia anterior)</t>
  </si>
  <si>
    <t>Derechos Administrativos</t>
  </si>
  <si>
    <t xml:space="preserve">Corresponde a los ingresos por concepto de la venta de bienes y la prestación de servicios que realizan las entidades en desarrollo de sus funciones y competencias legales, independientemente de que las mismas estén o no relacionadas con actividades de producción, o si se venden o no a precios económicamente significativos. Las ventas de bienes y servicios se registran sin deducir los costos de su recaudo (Decreto 111 de 1996, art. 35). </t>
  </si>
  <si>
    <t>Decreto 111 de 1996, art. 35</t>
  </si>
  <si>
    <t>Evaluación de licencias, permisos, concesiones, autorizaciones y demás trámites ambientales</t>
  </si>
  <si>
    <t>Ley 633 de 2002</t>
  </si>
  <si>
    <t>Evaluación de licencias, permisos, concesiones, autorizaciones y demás trámites ambientales (vigencia actual)</t>
  </si>
  <si>
    <t>Evaluación de licencias, permisos, concesiones, autorizaciones y demás trámites ambientales (vigencia anterior)</t>
  </si>
  <si>
    <t>Seguimiento a licencias, permisos, concesiones, autorizaciones y demás trámites ambientales</t>
  </si>
  <si>
    <t>Seguimiento a licencias, permisos, concesiones, autorizaciones y demás trámites ambientales (vigencia actual)</t>
  </si>
  <si>
    <t>Seguimiento a licencias, permisos, concesiones, autorizaciones y demás trámites ambientales (vigencia anterior)</t>
  </si>
  <si>
    <t>Salvoconductos</t>
  </si>
  <si>
    <t>Salvoconductos (vigencia actual)</t>
  </si>
  <si>
    <t>Salvoconductos (vigencia anterior)</t>
  </si>
  <si>
    <t>Venta de productos forestales</t>
  </si>
  <si>
    <t>Venta de productos forestales (vigencia actual)</t>
  </si>
  <si>
    <t>Venta de productos forestales (vigencia anterior)</t>
  </si>
  <si>
    <t>Venta de Servicios de Laboratorio e Información</t>
  </si>
  <si>
    <t>Venta de Servicios de Laboratorio e Información (vigencia actual)</t>
  </si>
  <si>
    <t>Venta de Servicios de Laboratorio e Información (vigencia anterior)</t>
  </si>
  <si>
    <t>06</t>
  </si>
  <si>
    <t>Pruebas de Bombeo y Videos de Pozos</t>
  </si>
  <si>
    <t>Pruebas de Bombeo y Videos de Pozos (vigencia actual)</t>
  </si>
  <si>
    <t>Pruebas de Bombeo y Videos de Pozos (vigencia anterior)</t>
  </si>
  <si>
    <t>07</t>
  </si>
  <si>
    <t>Aprovechamientos por parques</t>
  </si>
  <si>
    <t>Aprovechamientos por parques (vigencia actual)</t>
  </si>
  <si>
    <t>Aprovechamientos por parques (vigencia anterior)</t>
  </si>
  <si>
    <t>08</t>
  </si>
  <si>
    <t>Otros servicios</t>
  </si>
  <si>
    <t>Otros servicios (vigencia actual)</t>
  </si>
  <si>
    <t>Otros servicios (vigencia anterior)</t>
  </si>
  <si>
    <t>Multas, sanciones e intereses de mora</t>
  </si>
  <si>
    <t>El recaudo por multas y sanciones es generado por penalidades pecuniarias que derivan del poder punitivo del Estado, y que se establecen por el incumplimiento de leyes o normas administrativas, con el fin de prevenir un comportamiento considerado indeseable.
Por su parte, los intereses de mora hacen referencia a aquellos que se recaudan por el resarcimiento tarifado o indemnización de los perjuicios que padece el acreedor por no tener consigo el dinero en la oportunidad debida. La mora genera que se hagan correr en contra del deudor los daños y perjuicios llamados moratorios que representan el perjuicio causado al acreedor por el retraso en la ejecución de la obligación.
Los intereses de mora se incluyen en esta cuenta debido al componente indemnizatorio reconocido en la Sentencia C-604/2012. En este sentido, al igual que las multas y sanciones, el cobro de intereses de mora se hace en parte con el fin de prevenir la reiteración de una conducta indeseable.
Las multas, sanciones e intereses moratorios se clasifican en:
1) Multas y sanciones 
2) Intereses de mora</t>
  </si>
  <si>
    <t>Ley 6 de 1992, art. 124; Decreto 410 de 1971, art. 10, 20 y 78; Decreto 393 de 2002, art. 25</t>
  </si>
  <si>
    <t>Recursos por concepto de penalidades pecuniarias que derivan del poder punitivo del Estado, y que se establecen con el fin de prevenir un comportamiento considerado indeseable. Vale la pena precisar que las multas y sanciones se distinguen nítidamente de las contribuciones fiscales y parafiscales, pues estas últimas son consecuencia del poder impositivo, y no punitivo, del Estado. Esta diferencia de naturaleza jurídica se articula a la diversidad de finalidades de las mismas.
Así, una multa se establece con el fin de prevenir un comportamiento considerado indeseable, mientras que una contribución es un medio para financiar los gastos del Estado.
Las multas y sanciones se desagregan de igual manera para la Nación, los establecimientos públicos, los fondos especiales y las contribuciones parafiscales.</t>
  </si>
  <si>
    <t>Sentencia C-134/2009
Decreto 1609 de 2015</t>
  </si>
  <si>
    <t>Multas ambientales</t>
  </si>
  <si>
    <t>Corresponde al pago de una suma de dinero que las autoridades ambientales imponen a quien con su acción u omisión infrinja las normas ambientales.
Las autoridades ambientales son: El Ministerio de Ambiente y Desarrollo Sostenible, la Unidad Administrativa Especial del Sistema de Parques Nacionales Naturales, las Corporaciones Autónomas Regionales y las de Desarrollo Sostenible, las Unidades Ambientales Urbanas, la Armada Nacional, así como los departamentos, municipios y distritos.  Estas autoridades están habilitadas para imponer y ejecutar las medidas preventivas y sancionatorias consagradas en la ley, sin perjuicio de las competencias legales de otras autoridades.</t>
  </si>
  <si>
    <t>Ley 1333 de 2009. Ley 99 de 1993</t>
  </si>
  <si>
    <t>Multas ambientales (vigencia actual)</t>
  </si>
  <si>
    <t>Multas ambientales (vigencia anterior)</t>
  </si>
  <si>
    <t>Recaudo por concepto del retraso en que ha incurrido un tercero dentro de los plazos establecidos para el pago de una obligación. Los intereses de mora representan el resarcimiento tarifado o indemnización de los perjuicios que padece el acreedor por no tener consigo el dinero en la oportunidad debida.</t>
  </si>
  <si>
    <t>Sentencia C-604/2012</t>
  </si>
  <si>
    <t>Venta de bienes y servicios</t>
  </si>
  <si>
    <t>Ventas de establecimientos de mercado</t>
  </si>
  <si>
    <t xml:space="preserve">Son los ingresos por ventas de bienes y servicios resultantes del desarrollo de funciones misionales de producción o comercialización. Es decir, aquellas funciones de producción o comercialización dispuestas legalmente como competencias principales de la entidad. Esta categoría se desagrega siguiendo la Clasificación Central de Productos (CPC) del DANE.
</t>
  </si>
  <si>
    <t>Agricultura, silvicultura y productos de la pesca</t>
  </si>
  <si>
    <t>Productos de la silvicultura y de la explotación forestal</t>
  </si>
  <si>
    <t>Madera en bruto</t>
  </si>
  <si>
    <t>Madera en bruto (vigencia actual)</t>
  </si>
  <si>
    <t>Madera en bruto  (vigencia anterior)</t>
  </si>
  <si>
    <t>Productos forestales diferentes a la madera</t>
  </si>
  <si>
    <t>Productos forestales diferentes a la madera (vigencia actual)</t>
  </si>
  <si>
    <t>Productos forestales diferentes a la madera  (vigencia anterior)</t>
  </si>
  <si>
    <t>Otras ventas incidentales de establecimiento de mercado</t>
  </si>
  <si>
    <t>Otras ventas incidentales de establecimiento de mercado (vigencia actual)</t>
  </si>
  <si>
    <t>Otras ventas incidentales de establecimiento de mercado (vigencia anterior)</t>
  </si>
  <si>
    <t>Ventas incidentales de establecimiento de no mercado</t>
  </si>
  <si>
    <t>Son los ingresos por ventas de bienes y servicios que no resultan del desarrollo de funciones misionales de producción o comercialización. Es decir, que la venta de dichos bienes y servicios no se relaciona con las competencias legales de la entidad. Generalmente, estas ventas de bienes y servicios tienen un carácter incidental en las entidades. Esta categoría se desagrega siguiendo la Clasificación Central de Productos (CPC) del DANE.</t>
  </si>
  <si>
    <t>Productos metálicos, maquinaria y equipo</t>
  </si>
  <si>
    <t xml:space="preserve">Son los ingresos asociados a la venta de metales básicos o productos metálicos elaborados; maquinaria  de  uso  general  o  especial;  máquinas  para  oficina  y  contabilidad;  aparatos  eléctricos; aparatos de radio, televisión y comunicaciones; aparatos médicos y equipo de transporte. </t>
  </si>
  <si>
    <t xml:space="preserve"> Clasificación Central de Productos (CPC Ver. 2.0)</t>
  </si>
  <si>
    <t>Productos metálicos, maquinaria y equipo (vigencia actual)</t>
  </si>
  <si>
    <t>Productos metálicos, maquinaria y equipo (vigencia anterior)</t>
  </si>
  <si>
    <t>Alquiler de Maquinaria y Equipos</t>
  </si>
  <si>
    <t>Alquiler de Maquinaria y Equipos (vigencia actual)</t>
  </si>
  <si>
    <t>Alquiler de Maquinaria y Equipos (vigencia anterior)</t>
  </si>
  <si>
    <t>Aprovechamiento por arriendos</t>
  </si>
  <si>
    <t>Aprovechamiento por arriendos (vigencia actual)</t>
  </si>
  <si>
    <t>Aprovechamiento por arriendos (vigencia anterior)</t>
  </si>
  <si>
    <t>Otras ventas incidentales de establecimiento no de mercado</t>
  </si>
  <si>
    <t>Otras ventas incidentales de establecimiento no de mercado (vigencia actual)</t>
  </si>
  <si>
    <t>Otras ventas incidentales de establecimiento no de mercado (vigencia anterior)</t>
  </si>
  <si>
    <t>Transferencias corrientes</t>
  </si>
  <si>
    <t>Transferencias del sector central Nacional - PGN</t>
  </si>
  <si>
    <t>Participación de la sobretasa ambiental - Corporaciones Autónomas Regionales</t>
  </si>
  <si>
    <t xml:space="preserve">Son las transferencias de recursos de la sobretasa ambiental para las Corporaciones Autónomas Regionales (Art. 1. Decreto 1339 de 1994).  De acuerdo con el Artículo 44 de la Ley 99 de 1993, el giro de estos recursos debe realizarse de forma trimestral y excepcionalmente, por anualidades antes del 30 de marzo de cada año siguiente al periodo de recaudo. </t>
  </si>
  <si>
    <t>Ley  99 de 1993, art. 44; Decreto 1339 de 1994, art.1</t>
  </si>
  <si>
    <t>Participación de la sobretasa ambiental - Corporaciones Autónomas Regionales (vigencia actual)</t>
  </si>
  <si>
    <t>Participación de la sobretasa ambiental - Corporaciones Autónomas Regionales (vigencia anterior)</t>
  </si>
  <si>
    <t>Participación del porcentaje ambiental - Corporaciones Autónomas Regionales</t>
  </si>
  <si>
    <t>Participación del porcentaje ambiental - Corporaciones Autónomas Regionales (vigencia actual)</t>
  </si>
  <si>
    <t>Participación del porcentaje ambiental - Corporaciones Autónomas Regionales (vigencia anterior)</t>
  </si>
  <si>
    <t>Participación de intereses de mora sobre la sobretasa ambiental</t>
  </si>
  <si>
    <t>Participación de intereses de mora sobre la sobretasa ambiental (vigencia actual)</t>
  </si>
  <si>
    <t>Participación de intereses de mora sobre la sobretasa ambiental (vigencia anterior)</t>
  </si>
  <si>
    <t>Participación de intereses de mora sobre el porcentaje ambiental</t>
  </si>
  <si>
    <t>Participación de intereses de mora sobre el porcentaje ambiental (vigencia actual)</t>
  </si>
  <si>
    <t>Participación de intereses de mora sobre el porcentaje ambiental (vigencia anterior)</t>
  </si>
  <si>
    <t>Aportes de la Nación para Gastos de personal</t>
  </si>
  <si>
    <t>Aportes de la Nación para Adquisición de bienes y servicios</t>
  </si>
  <si>
    <t>Aportes de la Nación para Transferencias corrientes</t>
  </si>
  <si>
    <t xml:space="preserve">Aportes Fondo de Compensación Ambiental -FCA, Funcionamiento </t>
  </si>
  <si>
    <t>Aportes del FCA para Gastos de personal</t>
  </si>
  <si>
    <t>Aportes del FCA para Adquisición de bienes y servicios</t>
  </si>
  <si>
    <t>Aportes del FCA para Transferencias corrientes</t>
  </si>
  <si>
    <t>Aportes inversión Fondo de Compensación Ambiental -FCA</t>
  </si>
  <si>
    <t>Aportes inversión Fondo Nacional Ambiental - FONAM</t>
  </si>
  <si>
    <t>Aportes del Sistema de Participación General de Regalias - SPGR</t>
  </si>
  <si>
    <t>Aportes del SPGR para Funcionamiento</t>
  </si>
  <si>
    <t>Aportes del SPGR para Servicio de la Deuda</t>
  </si>
  <si>
    <t>Aportes del SPGR para Inversión</t>
  </si>
  <si>
    <t>Recursos de capital</t>
  </si>
  <si>
    <t>Los recursos de capital se diferencian de los ingresos corrientes por su regularidad. Si bien el EOP no da una definición conceptual de estos recursos, la Corte Constitucional, mediante la Sentencia C-1072 de 2002, establece que los recursos de capital son aquellos “que entran a las arcas públicas de manera esporádica, no porque hagan parte de un rubro extraño, sino porque su cuantía es indeterminada, lo cual difícilmente asegura su continuidad durante amplios periodos presupuestales” (Corte Constitucional, Sentencia C-1072 de 2002).</t>
  </si>
  <si>
    <t>Disposición de activos</t>
  </si>
  <si>
    <t>Recursos que obtiene una entidad del presupuesto general del sector público provenientes del traslado de derecho y dominio parcial o total de activos con destino a la financiación del presupuesto (Ministerio de Hacienda y Crédito Público, 2011, p. 245). En el CONPES 3281 de 2004 el gobierno nacional estableció la estrategia de aprovechamiento y disposición de activos con el objetivo de “reducir la magnitud del pasivo mediante la liquidación o venta de activos del balance con los cuales se corrija de manera efectiva el déficit fiscal, con un efecto permanente en el mediano plazo” (CONPES 3281 de 2004).</t>
  </si>
  <si>
    <t>Disposición de activos no financieros</t>
  </si>
  <si>
    <t>Corresponde a los ingresos por concepto de transacciones de capital referentes a la venta de activos no financieros . Sobre estos activos se ejerce un derecho de propiedad, y generan beneficios económicos por mantenerlos o utilizarlos durante un período de tiempo. Los activos no financieros incluyen tanto activos producidos como no producidos y los productos de la propiedad intelectual.</t>
  </si>
  <si>
    <t>Disposición de activos fijos</t>
  </si>
  <si>
    <t xml:space="preserve">Ingresos por concepto de la venta de activos no financieros producidos que se utilizan de forma repetida o continua en procesos de producción por más de un año y cuyo precio es significativo para la entidad del PGSP.
En este rubro se deben registrar las mejoras mayores de los activos fijos existentes, como los edificios o los programas de informática; siempre que, estas mejoras incrementen su capacidad productiva, amplíen su vida útil o ambas cosas. Se consideran mejoras mayores aquellas que recuperan o aumentan el valor del activo fijo, como las renovaciones significativas, reconstrucciones o agrandamientos. 
</t>
  </si>
  <si>
    <t>Disposición de edificaciones y estructuras</t>
  </si>
  <si>
    <t>Ingresos por concepto de la venta de todo de edificaciones y estructuras, incluidos los accesorios y adecuaciones que forman parte integral de la estructura. Se compone de viviendas, edificios que no sean viviendas, otras estructuras y mejoras de la tierra.
Esta cuenta también incluye  los monumentos públicos, identificables por su significado histórico, nacional, regional, local, religioso o simbólico (FMI, 2014, pág. 179), los cuales se clasifican en otras estructuras.</t>
  </si>
  <si>
    <t>Disposición de maquinaria y equipo</t>
  </si>
  <si>
    <t>Ingresos por la concepto de la venta de activos como equipo de transporte, maquinaria relacionada con tecnologías de la información y las comunicaciones y otras maquinarias y equipos no clasificados en otra partida.</t>
  </si>
  <si>
    <t>Disposición de otros activos fijos</t>
  </si>
  <si>
    <t xml:space="preserve">Ingresos por la disposición de activos no mencionados en los rubros anteriores, a saber, recursos biológicos cultivados y productos de propiedad intelectual. </t>
  </si>
  <si>
    <t>Disposición de productos de la propiedad intelectual</t>
  </si>
  <si>
    <t xml:space="preserve">Ingresos por la disposición de  productos de la propiedad intelectual, los cuales son el resultado de la investigación, el desarrollo o la innovación conducente a conocimientos que pueden venderse en el mercado.  </t>
  </si>
  <si>
    <t>Disposición de activos no producidos</t>
  </si>
  <si>
    <t>Ingresos por la disposición de activos no producidos, los cuales incluyen los activos de origen natural e intangible. Los activos de origen natural son recursos naturales sobre los que se ejercen derechos de propiedad (Fondo Monetario Internacional, 2014, pág. 207).</t>
  </si>
  <si>
    <t>Disposición de  tierras y terrenos</t>
  </si>
  <si>
    <t>Ingresos por la disposición de tierras y terrenos propiamente dichas, incluyendo la cubierta de suelo y las aguas superficiales asociadas, sobre los que se han establecido derechos de propiedad y de las cuales pueden derivarse beneficios económicos para los propietarios por su posesión o uso.</t>
  </si>
  <si>
    <t>Rendimientos financieros</t>
  </si>
  <si>
    <t>Son los ingresos que se reciben las unidades del PGSP en retorno por poner ciertos activos financieros a disposición de terceros, sin trasladar el derecho o dominio, total o parcial del activo. De acuerdo con el MEFP 2014, los activos financieros son aquellos que tienen un pasivo como contrapartida, es decir, el propietario de dicho activo (acreedor) tiene derecho a recibir recursos o fondos de otra unidad institucional (deudor), de acuerdo con las condiciones del pasivo.</t>
  </si>
  <si>
    <t>09</t>
  </si>
  <si>
    <t>10</t>
  </si>
  <si>
    <t>11</t>
  </si>
  <si>
    <t>12</t>
  </si>
  <si>
    <t>Recursos de crédito externo</t>
  </si>
  <si>
    <t xml:space="preserve">Comprende los recursos provenientes de operaciones de crédito público realizadas con agentes residentes fuera del país. Entiéndase por operaciones de crédito público todo acto o contrato que tienen por objeto dotar a la entidad del PGSP de recursos, bienes o servicios con plazo para su pago. </t>
  </si>
  <si>
    <t>Recursos de contratos de empréstitos externos</t>
  </si>
  <si>
    <t>Corresponde a los recursos provenientes de contratos de empréstitos externos realizados por las entidades del PGSP. Los contratos de empréstito tienen por objeto proveer a la entidad contratante (órgano del PGN, entidad territorial, órgano autónomo o particular) de recursos con plazo para su pago. Para el caso de las entidades estatales, el Decreto 1068 de 2015 reglamente los contratos de empréstitos externos.</t>
  </si>
  <si>
    <t>Decreto 1068 de 2015</t>
  </si>
  <si>
    <t>Bancos comerciales</t>
  </si>
  <si>
    <t>Comprende los recursos provenientes de los créditos adquiridos con bancos comerciales residentes fuera del país. Un banco comercial es un intermediario financiero que capta recursos de quienes tienen dinero disponible para colocarlos en manos de quienes lo necesitan</t>
  </si>
  <si>
    <t>Decreto 1068 de 2015, art. 2.2.1.2.1.2</t>
  </si>
  <si>
    <t>Entidades de fomento</t>
  </si>
  <si>
    <t>Comprende los recursos provenientes de los créditos adquiridos con entidades de fomento residentes fuera del país.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t>
  </si>
  <si>
    <t>Recursos de crédito de títulos de deuda pública externa</t>
  </si>
  <si>
    <t>Corresponde a los ingresos por emisión y colocación de bonos y demás valores de contenido crediticio y con plazo para su redención, emitidos por las entidades de gobierno en el exterior o empresas financieros y no financieras.</t>
  </si>
  <si>
    <t>Recursos de crédito de proveedores</t>
  </si>
  <si>
    <t xml:space="preserve">Comprende los créditos obtenidos con agentes residentes fuera del país,  mediante los cuales se contrata la adquisición de bienes o servicios con plazo para su pago. Esta cuenta es de uso exclusivo de la nación. No aplica para la entrega de bienes y/o servicios de manera directa por el proveedor. </t>
  </si>
  <si>
    <t>Decreto 1068 de 2015, art. 2.2.1.2.3.1</t>
  </si>
  <si>
    <t>Recursos de crédito interno</t>
  </si>
  <si>
    <t xml:space="preserve">Comprende los recursos provenientes de operaciones de crédito público que realizan las entidades del PGSP con agentes residentes en el país. Entiéndase por operaciones de crédito público todo acto o contrato que tienen por objeto dotar a la entidad (órgano del PGN, entidad territorial, órgano autónomo, empresa o particular) de recursos, bienes o servicios con plazo para su pago. </t>
  </si>
  <si>
    <t>Recursos de contratos de empréstitos internos</t>
  </si>
  <si>
    <t>Corresponde a los recursos provenientes de contratos de empréstitos internos de las entidades del PGSP. Para las entidades de gobierno, estas operaciones están reguladas por el Decreto 1068 de 2015 y el Decreto 2681 de 1993, art. 22.</t>
  </si>
  <si>
    <t>Decreto 1068 de 2015; Decreto 2681 de 1993, art. 22</t>
  </si>
  <si>
    <t>Recursos de contratos de empréstitos internos con bancos comerciales</t>
  </si>
  <si>
    <t>Corresponde a los ingresos por adquisición de deuda con aquellos bancos comerciales que ofrecen sus recursos a tasas y condiciones vigentes del mercado. Estos recursos pueden dirigirse a cualquier sector.</t>
  </si>
  <si>
    <t>Recursos de contratos de empréstitos internos con bancos comerciales públicos</t>
  </si>
  <si>
    <t>Corresponde a los ingresos por concepto de los desembolsos realizados por bancos comerciales públicos en razón de los créditos otorgados a la entidad del PGSP.</t>
  </si>
  <si>
    <t>Recursos de contratos de empréstitos internos con bancos comerciales privados</t>
  </si>
  <si>
    <t>Corresponde a los ingresos por concepto de los desembolsos realizados por bancos comerciales privados en razón de los créditos otorgados a la entidad del PGSP.</t>
  </si>
  <si>
    <t>Recursos de contratos de empréstitos internos con entidades del sector público</t>
  </si>
  <si>
    <t>Ingresos por contratación de créditos públicos con entidades del sector público, excluyendo a los bancos comerciales públicos que están en otra categoría.</t>
  </si>
  <si>
    <t>Recursos de contratos de empréstitos internos con la Nación</t>
  </si>
  <si>
    <t>Corresponde a los ingresos por desembolsos de créditos otorgados por la Nación a las entidades del gobierno (nivel nacional y subnacional). Estos créditos están sujetos a condonación según los términos pactados en los convenios de desempeño y/o en los documentos que hagan sus veces.</t>
  </si>
  <si>
    <t>Recursos de contratos de empréstitos internos con Findeter</t>
  </si>
  <si>
    <t>Corresponde a los ingresos por desembolsos de créditos realizados durante la vigencia por la Financiera de Desarrollo Territorial S.A. (FINDETER).</t>
  </si>
  <si>
    <t>Recursos de contratos de empréstitos internos con Fonade</t>
  </si>
  <si>
    <t>Corresponde a los ingresos por desembolsos de créditos realizados durante la vigencia por el Fondo Financiero de Proyectos de Desarrollo (FONADE).</t>
  </si>
  <si>
    <t>Recursos de contratos de empréstitos internos con Institutos de Desarrollo Departamental y/o Municipal</t>
  </si>
  <si>
    <t>Corresponde a los ingresos por desembolsos realizados durante la vigencia por concepto de los créditos concedidos a la entidad de gobierno por parte de los fondos o institutos de desarrollo.</t>
  </si>
  <si>
    <t>Banco de la República</t>
  </si>
  <si>
    <t>Comprende los recursos provenientes de los préstamos adquiridos con el Banco de la República, el cual tiene, entre sus funciones, ser prestamista de última instancia del Gobierno Nacional. Los créditos otorgados por el Banco de la República a la Nación sólo se permiten en casos de extrema necesidad, y deben ser aprobados por todos los miembros de la Junta directiva del Banco.</t>
  </si>
  <si>
    <t>Constitución de 1991,  art. 371</t>
  </si>
  <si>
    <t>Recursos de contratos de empréstitos internos con otras instituciones financieras y otros</t>
  </si>
  <si>
    <t xml:space="preserve">Corresponde a los ingresos por contratación de créditos con entidades financieras distintas a las mencionadas. También incluyre los montos de dinero transferidos al Tesoro Nacional por concepto de cuentas inactivas, por parte de las entidades financieras. </t>
  </si>
  <si>
    <t>Recursos de crédito de títulos de deuda pública interna</t>
  </si>
  <si>
    <t>Comprende los recursos provenientes de los títulos de deuda pública (bonos y demás valores de contenido crediticio) emitidos por las entidades de gobierno en el mercado local de capitales con plazo para su rendición</t>
  </si>
  <si>
    <t>Decreto 1068 de 2015, art. 2.2.1.3.1.</t>
  </si>
  <si>
    <t>Colocación y títulos TES clase B del Gobierno Nacional</t>
  </si>
  <si>
    <t xml:space="preserve">Comprende los recursos provenientes de la colocación de Títulos de Tesorería - TES Clase B que realiza el Gobierno Nacional mediante los mecanismos de subasta, operación convenida u operación forzosa, para financiar apropiaciones presupuestales. Los TES Clase B pueden ser administrados directamente por la Nación o ésta puede celebrar con el Banco de la República o con otras entidades nacionales o extranjeras, contratos de administración fiduciaria para la edición, emisión, colocación y garantía de los mismos.  </t>
  </si>
  <si>
    <t>Colocación y títulos TES clase B a corto plazo</t>
  </si>
  <si>
    <t xml:space="preserve">Comprende los recursos provenientes de la colocación de TES Clase B que hace el Gobierno Nacional con  el  fin de efectuar operaciones  de  tesorería,  cuando  el  vencimiento de  los mismos  excede  la respectiva vigencia fiscal. Los TES Clase B a corto plazo tienen un término no mayor a un (1) año y no menor a treinta (30) días. </t>
  </si>
  <si>
    <t>Colocación y títulos TES clase B a largo plazo</t>
  </si>
  <si>
    <t xml:space="preserve">Comprende los recursos provenientes de la colocación de TES Clase B que hace el Gobierno Nacional mediante subasta, operación forzosa u operación convenida, con el fin de financiar apropiaciones presupuestales. Los TES Clase B a largo plazo tienen un término de uno o más años calendario. </t>
  </si>
  <si>
    <t>Bonos y otros títulos emitidos por el Gobierno Nacional</t>
  </si>
  <si>
    <t xml:space="preserve">Comprende  los  recursos provenientes  de  la  colocación  de  bonos  definidos  por  ley,  y  de  títulos diferentes a los TES, que tienen un contenido crediticio con plazo para su redención. </t>
  </si>
  <si>
    <t>Bonos y otros títulos de deuda emitidos por las entidades territoriales</t>
  </si>
  <si>
    <t>Corresponde a los ingresos por emisión y colocación de bonos y demás valores de contenido crediticio y con plazo para su redención, emitidos por las entidades territoriales.</t>
  </si>
  <si>
    <t xml:space="preserve">Comprende los créditos obtenidos con agentes residentes en territorio colombiano,  mediante los cuales se contrata la adquisición de bienes o servicios con plazo para su pago. Esta cuenta es de uso exclusivo de la nación. No aplica para la entrega de bienes y/o servicios de manera directa por el proveedor. </t>
  </si>
  <si>
    <t xml:space="preserve">Transferencias de capital </t>
  </si>
  <si>
    <t>Son las transferencias de recursos que reciben las entidades del PGSP, sin ser regulares o predecibles, y sin dar ningún bien, servicio o activo como contraprestación directa. 
En oposición a las transferencias corrientes, las transferencias de capital se caracterizan por:
•	No permitir un cálculo predecible o una estimación de estos gastos
•	No son disponibilidades regulares 
•	Dependen de la discrecionalidad de la entidad que realiza la transferencia.
•	Tener un plazo limitado de vigencia</t>
  </si>
  <si>
    <t>Convenios con Departamentos</t>
  </si>
  <si>
    <t xml:space="preserve">Convenios con  Municipios </t>
  </si>
  <si>
    <t>Otros Convenios</t>
  </si>
  <si>
    <t>Transferencias a  órganos autónomos e independientes</t>
  </si>
  <si>
    <t>Transferencias del sector descentralizado - Estapublicos Nacionales</t>
  </si>
  <si>
    <t>Transferencias del sector descentralizado - Empresas Nacionales</t>
  </si>
  <si>
    <t>Transferencias del sector central Territorial</t>
  </si>
  <si>
    <t>Transferencias de Departamentos</t>
  </si>
  <si>
    <t xml:space="preserve">Transferencias de Municipios </t>
  </si>
  <si>
    <t>Transferencias del sector descentralizado - Estapublicos Territoriales</t>
  </si>
  <si>
    <t>Transferencias del sector descentralizado - Empresas Territoriales</t>
  </si>
  <si>
    <t>Transferencias de esquemas asociativos</t>
  </si>
  <si>
    <t>Transferencias de órganos autónomos e independientes</t>
  </si>
  <si>
    <t>Transferencias de  privados que administran recursos públicos</t>
  </si>
  <si>
    <t>Indemnizaciones relacionadas con seguros no de vida</t>
  </si>
  <si>
    <t>Son las transferencias de recursos que reciben las entidades del orden nacional y territorial por concepto de las indemnizaciones que se generan en el desarrollo de contratos de seguros no de vida, tras la ocurrencia de un siniestro.</t>
  </si>
  <si>
    <t>Son las transferencias que reciben las entidades o unidades por concepto de donaciones. De acuerdo con el MHCP, son donaciones los “ingresos sin contraprestación, pero con la destinación que establezca el donante, recibidos de otros gobiernos o instituciones públicas o privadas de carácter nacional o internacional” (Ministerio de Hacienda y Crédito Público, 2011, pág. 246).</t>
  </si>
  <si>
    <t>Donaciones de gobiernos extranjeros</t>
  </si>
  <si>
    <t>Son las transferencias por concepto de donaciones que realizan los gobiernos extranjeros a las entidades o unidades.  Se consideran gobiernos extranjeros aquellos que se encuentran fuera del territorio económico colombiano y ejercen soberanía sobre un área determinada del resto del mundo.</t>
  </si>
  <si>
    <t>Donaciones de organizaciones internacionales</t>
  </si>
  <si>
    <t>Son las transferencias por concepto de donaciones que realizan las organizaciones internacionales a las entidades o unidades.  Se entiende por organizaciones internacionales aquellas que cumplen con las siguientes características (FMI, 2009, p. 71):
*Sus miembros son Estados nacionales u otros organismos internacionales cuyos miembros son Estados nacionales.
*Se establecen mediante acuerdos políticos formales entre sus miembros, que tiene el rango de tratados internacionales; su existencia es reconocida por ley en sus países miembros.
*Se crean con una finalidad específica</t>
  </si>
  <si>
    <t>Donaciones del sector privado nacional y extranjero</t>
  </si>
  <si>
    <t>Son las transferencias de recursos por concepto de donaciones que realizan las personas naturales o personas jurídicas del sector privado nacional o extranjero a las entidades.</t>
  </si>
  <si>
    <t>13</t>
  </si>
  <si>
    <t>Compensaciones</t>
  </si>
  <si>
    <t>Son las transferencias de recursos por pagos de gran cuantía, no recurrentes, para compensar daños extensos o lesiones graves, como las que resultan de desastres naturales no cubiertos por pólizas de seguros.</t>
  </si>
  <si>
    <t xml:space="preserve">Compensación resguardos indígenas </t>
  </si>
  <si>
    <t>Corresponde al impuesto predial unificado de los resguardos indígenas de la jurisdicción del municipio con cargo al presupuesto general de la Nación</t>
  </si>
  <si>
    <t>Compensación resguardos indígenas (vigencia actual)</t>
  </si>
  <si>
    <t>Compensación resguardos indígenas (vigencia anterior)</t>
  </si>
  <si>
    <t>Intereses de mora Compensación resguardos indígenas</t>
  </si>
  <si>
    <t>14</t>
  </si>
  <si>
    <t xml:space="preserve">Cooperación </t>
  </si>
  <si>
    <t xml:space="preserve">Acuerdos </t>
  </si>
  <si>
    <t>Subacuerdos</t>
  </si>
  <si>
    <t>Recuperación de cartera</t>
  </si>
  <si>
    <t>Ingresos por concepto de la amortización de préstamos realizados por las unidades del PGSP Gobierno nacional, las entidades territoriales, las empresas financieras y no financieras, los órganos autónomos y particulares que administran recursos públicos</t>
  </si>
  <si>
    <t>Ley 1066 de 2006</t>
  </si>
  <si>
    <t>Recuperación de cartera Ingresos tributarios</t>
  </si>
  <si>
    <t>Recuperación de cartera Impuestos directos</t>
  </si>
  <si>
    <t>Recuperación de cartera Contribuciones</t>
  </si>
  <si>
    <t>Recuperación de cartera Tasas retributivas y compensatorias</t>
  </si>
  <si>
    <t>Recuperación de carteraTasa retributiva</t>
  </si>
  <si>
    <t>Recuperación de cartera Tasa por el uso del agua</t>
  </si>
  <si>
    <t>Recuperación de cartera Tasa de aprovechamiento Forestal</t>
  </si>
  <si>
    <t>Recuperación de cartera Tasa compensatoria por caza de Fauna Silvestre</t>
  </si>
  <si>
    <t>Recuperación de cartera Otras tasas</t>
  </si>
  <si>
    <t>Recuperación de cartera Multas, sanciones e intereses de mora</t>
  </si>
  <si>
    <t>Recuperación de cartera Venta de bienes y servicios</t>
  </si>
  <si>
    <t>Recuperación cuotas partes pensionales</t>
  </si>
  <si>
    <t>Recursos del balance</t>
  </si>
  <si>
    <t>Recursos provenientes del saldo del ejercicio fiscal de la vigencia inmediatamente anterior, que quedan disponibles para la vigencia siguiente.</t>
  </si>
  <si>
    <t>Cancelación de reservas</t>
  </si>
  <si>
    <t>Cancelación de reservas Ingresos tributarios</t>
  </si>
  <si>
    <t>Cancelación de reservas Impuestos directos</t>
  </si>
  <si>
    <t>Cancelación de reservas Contribuciones</t>
  </si>
  <si>
    <t>Cancelación de reservas Tasas retributivas y compensatorias</t>
  </si>
  <si>
    <t>Cancelación de reservas Tasa retributiva</t>
  </si>
  <si>
    <t>Cancelación de reservas Tasa por el uso del agua</t>
  </si>
  <si>
    <t>Cancelación de reservas Tasa de aprovechamiento Forestal</t>
  </si>
  <si>
    <t>Cancelación de reservas Tasa compensatoria por caza de Fauna Silvestre</t>
  </si>
  <si>
    <t>Cancelación de reservas Otras tasas</t>
  </si>
  <si>
    <t>Cancelación de reservas Multas, sanciones e intereses de mora</t>
  </si>
  <si>
    <t>Cancelación de reservas Venta de bienes y servicios</t>
  </si>
  <si>
    <t>Cancelación de reservas Recursos de crédito externo</t>
  </si>
  <si>
    <t>Cancelación de reservas Recursos de crédito interno</t>
  </si>
  <si>
    <t>Cancelación de reservas Transferencias de capital</t>
  </si>
  <si>
    <t>Cancelación de reservas Convenios</t>
  </si>
  <si>
    <t>Cancelación de reservas Convenios Departamentos</t>
  </si>
  <si>
    <t xml:space="preserve">Cancelación de reservas Convenios Municipios </t>
  </si>
  <si>
    <t>Cancelación de reservas Otros convenios</t>
  </si>
  <si>
    <t>Cancelación de reservas Compensaciones</t>
  </si>
  <si>
    <t>Cancelación de reservas Compensación resguardos indígenas</t>
  </si>
  <si>
    <t xml:space="preserve"> INFORME DE EJECUCION PRESUPUESTAL DE INGRESOS </t>
  </si>
  <si>
    <t>Meta de POMCAS aprobados para el cuatrienio 2020-2023 (número):</t>
  </si>
  <si>
    <t>Meta de PMA aprobados para el cuatrienio 2020-2023 (número):</t>
  </si>
  <si>
    <t>Meta de PMM aprobados para el cuatrienio 2020-2023 (número):</t>
  </si>
  <si>
    <t>Número de áreas protegidas inscritas en el RUNAP a 31/12/2019 (número)</t>
  </si>
  <si>
    <t>Superficie de áreas protegidas inscritas en el RUNAP a 31/12/2019 (ha)</t>
  </si>
  <si>
    <t>Número total de áreas protegidas regionales declaradas, homologadas o recategorizadas, e inscritas en el RUNAP a 31/12/2023 (número)</t>
  </si>
  <si>
    <t>Superficie total de áreas protegidas regionales declaradas, homologadas o recategorizadas, inscritas en el RUNAP a 31/12/2023 (ha) (C+D)</t>
  </si>
  <si>
    <t>Superficie total del Plan de Ordenación Forestal a 31/12/2023 (ha)</t>
  </si>
  <si>
    <t>ANEXOS INFORME DE SEGUIMIENTO AL PLAN DE ACCIÓN 2020-2023</t>
  </si>
  <si>
    <t>ANEXO No. 2. PROTOCOLO O GUÍA DE DILIGENCIAMIENTO</t>
  </si>
  <si>
    <t>ÍTEM</t>
  </si>
  <si>
    <t>(1) ESTRUCTURA RENTÍSTICA</t>
  </si>
  <si>
    <t>Es el conjunto de elementos que rigen la clasificación, el ordenamiento y la presentación del Presupuesto.</t>
  </si>
  <si>
    <t>(2) CONCEPTO</t>
  </si>
  <si>
    <t>Cuentas que conforma el presupuesto de ingresos.</t>
  </si>
  <si>
    <t>(3) PROYECTADO PLAN FINANCIERO</t>
  </si>
  <si>
    <t xml:space="preserve">Indique el valor proyectado en el Plan Financiero del Plan de Acción y el cual es la base para la formulación del presupuesto de la vigencia de reporte. </t>
  </si>
  <si>
    <t>(4) ADICIÓN</t>
  </si>
  <si>
    <t>Indique las modificaciones positivas que se realizan al presupuesto de la Corporación, que buscan adecuarlo a nuevas condiciones que se presentan en la ejecución y que no fueron contempladas en la etapa de programación (Plan Financiero); este debe reflejarse tanto en el presupuesto de ingresos como en el gasto con el fin que haya un equilibrio presupuestal.</t>
  </si>
  <si>
    <t>(5) REDUCCIÓN</t>
  </si>
  <si>
    <t>Indique las modificaciones negativas que se realizan al presupuesto de la Corporación, que buscan adecuarlo a nuevas condiciones que se presentan en la ejecución y que afecta la etapa de programación (Plan Financiero); este debe reflejarse tanto en el presupuesto de ingresos como en el gasto con el fin que haya un equilibrio presupuestal.</t>
  </si>
  <si>
    <t>(6) APROPIACIÓN FINAL</t>
  </si>
  <si>
    <t>Es el resultado de la suma de lo programado en el Plan Financiero (3) más las adiciones (4) y menos las reducciones (5).</t>
  </si>
  <si>
    <t>(7) FUNCIONAMIENTO</t>
  </si>
  <si>
    <t>Indique los recursos que se asignan a la cuenta de Funcionamiento por cada una de las fuentes de financiación.</t>
  </si>
  <si>
    <t>(8) INVERSIÓN</t>
  </si>
  <si>
    <t>Indique los recursos que se asignan a la cuenta de Inversión por cada una de las fuentes de financiación.</t>
  </si>
  <si>
    <t>(9) FCA</t>
  </si>
  <si>
    <t>Indique los recursos que se asignan a la cuenta del Fondo de Compensación Ambiental -FCA, por cada una de las fuentes de financiación, atendiendo el artículo 24 de la Ley 344 de 1996, es decir el veinte por ciento (20%) de los recursos percibidos por las Corporaciones Autónomas Regionales, con excepción de las de Desarrollo Sostenible, por concepto de transferencias del sector eléctrico y el diez por ciento (10%) de las restantes rentas propias, con excepción del porcentaje ambiental de los gravámenes a la propiedad inmueble percibidos por ellas y de aquéllas que tengan como origen relaciones contractuales interadministrativas.</t>
  </si>
  <si>
    <t>(10) SERVICIO A LA DEUDA</t>
  </si>
  <si>
    <t>Indique los recursos que, se destina en la vigencia para disminuir el capital adeudado, e intereses, que se calculan sobre el capital adeudado. El servicio de la deuda de un período incluye a todas las obligaciones de un período determinado, es decir, que puede incluir a varios acreedores.</t>
  </si>
  <si>
    <t>(11) DERECHOS POR COBRAR</t>
  </si>
  <si>
    <t>Indique los recursos de los créditos a favor de la corporación y a los cuales realizará el proceso de cobro, estos pueden ser generados por la facturación por la prestación de un servicio, así mismo, se incluyen los valores que se giraran de otras entidades por contratos interinstitucionales, asignación de recursos para ejecución de proyectos, recursos asignados por la nación, los certificados por los entes territoriales por concepto de sobretasa o porcentaje ambiental, las certificaciones de las generadores de energía, por concepto de TSE, etc.</t>
  </si>
  <si>
    <t>(12) RECAUDO EFECTIVO</t>
  </si>
  <si>
    <t>Indique los recursos percibidos por la Corporación durante la vigencia de reporte</t>
  </si>
  <si>
    <t>(13) % DE RECAUDO</t>
  </si>
  <si>
    <t>Es la efectividad de la ejecución de los derechos por cobrar, es la división entre el recaudo efectivo (12) y los derechos por cobrar (11)</t>
  </si>
  <si>
    <t>(14) OBSERVACIONES</t>
  </si>
  <si>
    <t>Si es el caso, relacione lo que considere importante para la respectiva revisión y análisis que realizará DOAT-SINA.</t>
  </si>
  <si>
    <t>3201 – Fortalecimiento del desempeño ambiental de los sectores productivos.</t>
  </si>
  <si>
    <t>3202 – Conservación de la biodiversidad y sus servicios ecosistémicos.</t>
  </si>
  <si>
    <t>3203 – Gestión integral del recurso hídrico.</t>
  </si>
  <si>
    <t>3204 – Gestión de la información y el conocimiento ambiental.</t>
  </si>
  <si>
    <t>3205 – Ordenamiento ambiental territorial.</t>
  </si>
  <si>
    <t>3206 – Gestión del cambio climático para un desarrollo bajo en carbono y resiliente al clima.</t>
  </si>
  <si>
    <t>3207 – Gestión integral de mares, costas y recursos acuáticos.</t>
  </si>
  <si>
    <t>3208 – Educación Ambiental.</t>
  </si>
  <si>
    <t>3299 – Fortalecimiento de la gestión y dirección del Sector Ambiente y Desarrollo Sostenible.</t>
  </si>
  <si>
    <t>No Aplica</t>
  </si>
  <si>
    <t>2020-I</t>
  </si>
  <si>
    <t>2020-II</t>
  </si>
  <si>
    <t>2021-I</t>
  </si>
  <si>
    <t>2021-II</t>
  </si>
  <si>
    <t>2022-I</t>
  </si>
  <si>
    <t>2022-II</t>
  </si>
  <si>
    <t>2023-I</t>
  </si>
  <si>
    <t>2023-II</t>
  </si>
  <si>
    <t>2024-I</t>
  </si>
  <si>
    <t>2024-II</t>
  </si>
  <si>
    <t>2025-I</t>
  </si>
  <si>
    <t>2025-II</t>
  </si>
  <si>
    <t>Corporación Autónoma Regional de Risaralda – CARDER</t>
  </si>
  <si>
    <t>Año 0 (2019) (*)</t>
  </si>
  <si>
    <t>Aportes Fondo de Compensación Ambiental -FCA,</t>
  </si>
  <si>
    <t>Tasa retributiva (Rendimientos Financieros)</t>
  </si>
  <si>
    <t>Tasa retributiva (Intereses por mora)</t>
  </si>
  <si>
    <t>Tasa retributiva (Recuperación de Cartera)</t>
  </si>
  <si>
    <t>Tasa retributiva (Superhavit - Mayor recaudo)</t>
  </si>
  <si>
    <t>Tasa retributiva (Superhavit -Recursos no ejecutados)</t>
  </si>
  <si>
    <t>Tasa por el uso del agua (Rendimientos Financieros)</t>
  </si>
  <si>
    <t>Tasa por el uso del agua (Intereses por mora)</t>
  </si>
  <si>
    <t>Tasa por el uso del agua (Recuperación de Cartera)</t>
  </si>
  <si>
    <t>Tasa por el uso del agua (Superhavit - Mayor recaudo)</t>
  </si>
  <si>
    <t>Tasa por el uso del agua (Superhavit -Recursos no ejecutados)</t>
  </si>
  <si>
    <t>Tasa de aprovechamiento forestal (Rendimientos Financieros)</t>
  </si>
  <si>
    <t>Tasa de aprovechamiento forestal (Intereses por mora)</t>
  </si>
  <si>
    <t>Tasa de aprovechamiento forestal (Recuperación de Cartera)</t>
  </si>
  <si>
    <t>Tasa de aprovechamiento forestal (Superhavit - Mayor recaudo)</t>
  </si>
  <si>
    <t>Tasa de aprovechamiento forestal (Superhavit -Recursos no ejecutados)</t>
  </si>
  <si>
    <t>Tasa compensatoria por caza de Fauna Silvestre (Rendimientos Financieros)</t>
  </si>
  <si>
    <t>Tasa compensatoria por caza de Fauna Silvestre (Intereses por mora)</t>
  </si>
  <si>
    <t>Tasa compensatoria por caza de Fauna Silvestre (Recuperación de Cartera)</t>
  </si>
  <si>
    <t>Tasa compensatoria por caza de Fauna Silvestre (Superhavit - Mayor recaudo)</t>
  </si>
  <si>
    <t>Tasa compensatoria por caza de Fauna Silvestre (Superhavit -Recursos no ejecutados)</t>
  </si>
  <si>
    <t>Evaluación de licencias, permisos, concesiones, autorizaciones y demás trámites ambientales (Rendimientos Financieros)</t>
  </si>
  <si>
    <t>Evaluación de licencias, permisos, concesiones, autorizaciones y demás trámites ambientales (Intereses por mora)</t>
  </si>
  <si>
    <t>Evaluación de licencias, permisos, concesiones, autorizaciones y demás trámites ambientales (Recuperación de Cartera)</t>
  </si>
  <si>
    <t>Evaluación de licencias, permisos, concesiones, autorizaciones y demás trámites ambientales (Superhavit - Mayor recaudo)</t>
  </si>
  <si>
    <t>Evaluación de licencias, permisos, concesiones, autorizaciones y demás trámites ambientales (Superhavit -Recursos no ejecutados)</t>
  </si>
  <si>
    <t>Otras Tasas (Rendimientos Financieros)</t>
  </si>
  <si>
    <t>Otras Tasas (Intereses por mora)</t>
  </si>
  <si>
    <t>Otras Tasas (Recuperación de Cartera)</t>
  </si>
  <si>
    <t>Otras Tasas (Superhavit - Mayor recaudo)</t>
  </si>
  <si>
    <t>Otras Tasas (Superhavit -Recursos no ejecutados)</t>
  </si>
  <si>
    <t>Seguimiento a licencias, permisos, concesiones, autorizaciones y demás trámites ambientales (Rendimientos Financieros)</t>
  </si>
  <si>
    <t>Seguimiento a licencias, permisos, concesiones, autorizaciones y demás trámites ambientales (Intereses por mora)</t>
  </si>
  <si>
    <t>Seguimiento a licencias, permisos, concesiones, autorizaciones y demás trámites ambientales (Recuperación de Cartera)</t>
  </si>
  <si>
    <t>Seguimiento a licencias, permisos, concesiones, autorizaciones y demás trámites ambientales (Superhavit - Mayor recaudo)</t>
  </si>
  <si>
    <t>Seguimiento a licencias, permisos, concesiones, autorizaciones y demás trámites ambientales (Superhavit -Recursos no ejecutados)</t>
  </si>
  <si>
    <t>Salvoconductos (Rendimientos Financieros)</t>
  </si>
  <si>
    <t>Salvoconductos (Intereses por mora)</t>
  </si>
  <si>
    <t>Salvoconductos (Recuperación de Cartera)</t>
  </si>
  <si>
    <t>Salvoconductos (Superhavit - Mayor recaudo)</t>
  </si>
  <si>
    <t>Salvoconductos (Superhavit -Recursos no ejecutados)</t>
  </si>
  <si>
    <t>Participación de la sobretasa ambiental - Corporaciones Autónomas Regionales (Rendimientos Financieros)</t>
  </si>
  <si>
    <t>Participación de la sobretasa ambiental - Corporaciones Autónomas Regionales (Intereses por mora)</t>
  </si>
  <si>
    <t>Participación de la sobretasa ambiental - Corporaciones Autónomas Regionales (Recuperación de Cartera)</t>
  </si>
  <si>
    <t>Participación de la sobretasa ambiental - Corporaciones Autónomas Regionales (Superhavit - Mayor recaudo)</t>
  </si>
  <si>
    <t>Participación de la sobretasa ambiental - Corporaciones Autónomas Regionales (Superhavit -Recursos no ejecutados)</t>
  </si>
  <si>
    <t>Participación del porcentaje ambiental - Corporaciones Autónomas Regionales  (Rendimientos Financieros)</t>
  </si>
  <si>
    <t>Participación del porcentaje ambiental - Corporaciones Autónomas Regionales  (Intereses por mora)</t>
  </si>
  <si>
    <t>Participación del porcentaje ambiental - Corporaciones Autónomas Regionales  (Recuperación de Cartera)</t>
  </si>
  <si>
    <t>Participación del porcentaje ambiental - Corporaciones Autónomas Regionales  (Superhavit - Mayor recaudo)</t>
  </si>
  <si>
    <t>Participación del porcentaje ambiental - Corporaciones Autónomas Regionales  (Superhavit -Recursos no ejecutados)</t>
  </si>
  <si>
    <t>Participación de intereses de mora sobre la sobretasa ambiental  (Rendimientos Financieros)</t>
  </si>
  <si>
    <t>Participación de intereses de mora sobre la sobretasa ambiental  (Intereses por mora)</t>
  </si>
  <si>
    <t>Participación de intereses de mora sobre la sobretasa ambiental  (Recuperación de Cartera)</t>
  </si>
  <si>
    <t>Participación de intereses de mora sobre la sobretasa ambiental  (Superhavit - Mayor recaudo)</t>
  </si>
  <si>
    <t>Participación de intereses de mora sobre la sobretasa ambiental  (Superhavit -Recursos no ejecutados)</t>
  </si>
  <si>
    <t>Participación de intereses de mora sobre el porcentaje ambiental  (Rendimientos Financieros)</t>
  </si>
  <si>
    <t>Participación de intereses de mora sobre el porcentaje ambiental  (Intereses por mora)</t>
  </si>
  <si>
    <t>Participación de intereses de mora sobre el porcentaje ambiental  (Recuperación de Cartera)</t>
  </si>
  <si>
    <t>Participación de intereses de mora sobre el porcentaje ambiental  (Superhavit - Mayor recaudo)</t>
  </si>
  <si>
    <t>Participación de intereses de mora sobre el porcentaje ambiental  (Superhavit -Recursos no ejecutados)</t>
  </si>
  <si>
    <t>Participación de intereses de mora sobre la sobretasa ambiental-peajes  (Rendimientos Financieros)</t>
  </si>
  <si>
    <t>Participación de intereses de mora sobre la sobretasa ambiental-peajes  (Intereses por mora)</t>
  </si>
  <si>
    <t>Participación de intereses de mora sobre la sobretasa ambiental-peajes  (Recuperación de Cartera)</t>
  </si>
  <si>
    <t>Participación de intereses de mora sobre la sobretasa ambiental-peajes  (Superhavit - Mayor recaudo)</t>
  </si>
  <si>
    <t>Participación de intereses de mora sobre la sobretasa ambiental-peajes  (Superhavit -Recursos no ejecutados)</t>
  </si>
  <si>
    <t>Sobretasa ambiental - Peajes (Rendimientos Financieros)</t>
  </si>
  <si>
    <t>Sobretasa ambiental - Peajes (Intereses por mora)</t>
  </si>
  <si>
    <t>Sobretasa ambiental - Peajes (Recuperación de Cartera)</t>
  </si>
  <si>
    <t>Sobretasa ambiental - Peajes (Superhavit - Mayor recaudo)</t>
  </si>
  <si>
    <t>Sobretasa ambiental - Peajes (Superhavit -Recursos no ejecutados)</t>
  </si>
  <si>
    <t>Ingresos Recursos Propios</t>
  </si>
  <si>
    <t>Intereses de mora Multas Am bientales</t>
  </si>
  <si>
    <t>Multas Ambientales (Rendimientos Financieros)</t>
  </si>
  <si>
    <t>Multas Ambientales (Intereses por mora)</t>
  </si>
  <si>
    <t>Multas Ambientales (Recuperación de Cartera)</t>
  </si>
  <si>
    <t>Multas Ambientales (Superhavit - Mayor recaudo)</t>
  </si>
  <si>
    <t>Multas Ambientales (Superhavit -Recursos no ejecutados)</t>
  </si>
  <si>
    <t xml:space="preserve">Aportes Presupuesto General de la Nación </t>
  </si>
  <si>
    <t>Aportes Presupuesto General de la Nación - Funcionamiento</t>
  </si>
  <si>
    <t>Aportes Presupuesto General de la Nación - Inversión</t>
  </si>
  <si>
    <t>Aportes del SPGR para Gastos de personal</t>
  </si>
  <si>
    <t>Aportes del SPGR para Adquisición de bienes y servicios</t>
  </si>
  <si>
    <t>Aportes del SPGR  para Transferencias corrientes</t>
  </si>
  <si>
    <t>Germán Escaf Payares -Tayro Pimienta</t>
  </si>
  <si>
    <t>(57-5) 3492482 - 3492686</t>
  </si>
  <si>
    <t>N.A.</t>
  </si>
  <si>
    <t>SIN INFORMACION</t>
  </si>
  <si>
    <t>Línea Estratégica no. 1. Sostenibilidad del recurso hídrico; Programa 1.1. Planificación, administración y gestión del recurso hídrico para la protección de los ecosistemas. Proyecto 1.1.1. Regulación y reglamentación del recurso hídrico. Actividades: 1.1.1.1; 1.1.1.2 y 1.1.1.7.</t>
  </si>
  <si>
    <t>No hay microcuencas permanentes, en jurisdicción de la C.R.A.</t>
  </si>
  <si>
    <t>Cuenca del complejo de humedades del Rio Magdalena</t>
  </si>
  <si>
    <t>Cuenca Hidrógrafica de la Ciénaga de Mallorquín</t>
  </si>
  <si>
    <t>Aprobado</t>
  </si>
  <si>
    <t>Cuencas Hidrográficas del Canal del Dique.</t>
  </si>
  <si>
    <t>Sistema de acuifero de Sabanalarga- Tubara</t>
  </si>
  <si>
    <t>Procesos Formales Previos</t>
  </si>
  <si>
    <t>C.R.A.</t>
  </si>
  <si>
    <t>Germán Escaf</t>
  </si>
  <si>
    <t>gescaf@crautonoma.gov.co</t>
  </si>
  <si>
    <t>Calle 66 # 54- 43, esquina</t>
  </si>
  <si>
    <t>Número de cuencas con POMCAS aprobados, bajo el nuevo marco normativo (Decreto 1076 de 2015) a 31 de diciembre de 2020:</t>
  </si>
  <si>
    <t>Línea Estratégica no. 1. Sostenibilidad del recurso hídrico; Programa 1.1. Planificación, administración y gestión del recurso hídrico para la protección de los ecosistemas. Proyecto 1.1.1. Regulación y reglamentación del recurso hídrico. Actividades: 1.1.1.11.</t>
  </si>
  <si>
    <t>Número total de cuerpos de agua sujeto de reglamentación de planes de ordenamiento del recurso hídrico (PORH) adoptados a 31/12/2020:</t>
  </si>
  <si>
    <t>Germán Escaf Payares</t>
  </si>
  <si>
    <t>Línea Estratégica N°. 1. Sostenibilidad del recurso hídrico; Programa N° 1.2. Caracterización, cuantificación y recuperación del recurso agua como articulador de los bienes y servicios ambientales. Proyecto 1.2.3. Reducción de la contaminación del recurso hídrico</t>
  </si>
  <si>
    <t>Está determinado por el número de municipios en jurisdicción de la C.R.A., incluído el distrito de Barranquilla</t>
  </si>
  <si>
    <t>SUBDIRECCION DE GESTION AMBIENTAL</t>
  </si>
  <si>
    <t>jrestrepo@crautonoma.gov.co</t>
  </si>
  <si>
    <t>3686626 ext 111</t>
  </si>
  <si>
    <t xml:space="preserve"> El Departamento del Atlantico no tiene corrientes permanentes con excepción del Rio Magdalena.Se actualizará el índice del Uso de Agua para el Departamento del Atlántico, ya que éste fue construido en el año 2013.</t>
  </si>
  <si>
    <t>Acuerdo 004 de 2020. Por medio del cual se aprueba y adopta el PAI-Atlántico Sostenible y Resiliente 2020 -2023</t>
  </si>
  <si>
    <t>Línea Estratégica N°. 1. Sostenibilidad del recurso hídrico; Programa N° 1.2. Caracterización, cuantificación y recuperación del recurso agua como articulador de los bienes y servicios ambientales. Proyecto 1.2.1. Uso eficiente y sostenible del agua. Actividad 1.2.1.2</t>
  </si>
  <si>
    <t xml:space="preserve">SUBDIRECCIÓN DE GESTION AMBIENTAL </t>
  </si>
  <si>
    <t>1.1.2.2. Implementar los cuatro Consejos de Cuenca (Mallorquin, Canal del Dique, Rio Magdalena y Caribe) como mecanismo de participación efectiva de los usuarios en la Planeación, Administración, Vigilancia y Monitoreo del recurso Hídrico.</t>
  </si>
  <si>
    <t>Línea Estratégica N°. 1. Sostenibilidad del recurso hídrico; Programa N° 1.1. Planificación, administración y gestión del recurso hídrico para la protección de los ecosistemas. Proyecto 1.1.1 regulación y reglamentación del recurso hídrico. Actividad 1.1.1.3., 1.1.1.4., 1.1.1.5 y 1.1.2.2.</t>
  </si>
  <si>
    <t>Los 23 municipios del Dpto del Atlántico, incluído el distrito de Bquilla</t>
  </si>
  <si>
    <t>Subdirección Gestión Ambiental</t>
  </si>
  <si>
    <t>NO APLICA PARA LA JURISDICCIÓN DE LA CRA.</t>
  </si>
  <si>
    <r>
      <t>El Plan de Ordenamiento Forestal fue adoptado a través de la Resolución No.859 del 2018 de la C.R.A., se contempló actualizar el mismo para la vigencia 2022.</t>
    </r>
    <r>
      <rPr>
        <sz val="10"/>
        <rFont val="Calibri"/>
        <family val="2"/>
        <scheme val="minor"/>
      </rPr>
      <t>(Acuerdo de aprobación del Consejo Directivo N°004 del 20 de mayo de 2020)</t>
    </r>
  </si>
  <si>
    <t>Continental</t>
  </si>
  <si>
    <t>2.3.1.8. Desarrollar estrategias de participación efectiva dirigidas a los propietarios de predios privados y comunidades de las áreas protegidas enfocadas a la conservación y a la implementación de sistemas productivos sostenibles como medida de adaptación al cambio climático</t>
  </si>
  <si>
    <t>2.3.1.7. Formular e implementar actividades de protección y recuperación de las zonas de acuiferos ubicadas en las áreas protegidas, para prevenir y mitigar el impacto negativo en en el recurso hídrico</t>
  </si>
  <si>
    <t>2.3.1.9. Formular e implementar proyectos Ecoturísticos de acuerdo con los lineamientos establecidos por la Unidad Administrativa de Parques Nacionales de Colombia (UASPNN), como alternativa sostenible en las áreas protegidas y sus zonas aledañas</t>
  </si>
  <si>
    <t>2.3.1.10. Desarrollar e implementar estudios técnicos que definan la capacidad de carga para el control de ingreso e impactos ambientales generados por los visitantes de las áreas protegidas en el Atlántico</t>
  </si>
  <si>
    <t>SUBDIRECCIÓN DE GESTION AMBIENTAL</t>
  </si>
  <si>
    <t>Subdirección Gestión ambiental</t>
  </si>
  <si>
    <t>2.1.2.5. Diseñar y ejecutar acciones de conservación y manejo para 6 especies amenazadas</t>
  </si>
  <si>
    <t>2.1.2.2. Implementar medidas de prevención, control y manejo de las principales especies invasoras del departamento</t>
  </si>
  <si>
    <t>2.3.1.3. Implementar proyectos de restauraciòn y conectividad del Bosque Seco enmarcadas en el SIRAP, SIDAP, SILAP, en el Atlántico.</t>
  </si>
  <si>
    <t>GERMÁN ESCAF PAYARES</t>
  </si>
  <si>
    <t>2.2.1.1. Adoptar e implementar el Plan de Ordenación y Manejo-POMIUAC  de la Unidad Ambiental Costera-UAC del Rio Magdalena</t>
  </si>
  <si>
    <t>2.2.3.2. Establecer un  Programa de  Control y Monitoreo de la Unidad Ambiental Costera</t>
  </si>
  <si>
    <t>Planificación y ordenamiento de la Unidad Ambiental Costera UAC</t>
  </si>
  <si>
    <t>Línea estratégica N°. 4. Sostenibilidad sectorial; Programa N° programa no 4.4. Prevención, control y monitoreo del aire y suelo. Proyecto No 4.4.4. Residuos y economía circular. Actividad 4.4.4.2.</t>
  </si>
  <si>
    <t>2.1.1.4. Ejecutar un programa comunitario de medidas de adaptación al cambio climático basadas en la conservación de los ecosistemas estrategicos (bosque seco y manglar) y enfocadas a la reconversión hacia sistemas sostenibles de producción</t>
  </si>
  <si>
    <t>4.2.1.1. Fomentar el conocimiento sobre el Potencial energético de la generación de biogás a partir de residuos pecuarios en el Departamento del Atlántico</t>
  </si>
  <si>
    <t>4.2.2.1. Impulsar proyectos de generación de Fuentes No convencionales de Energía Renovable-FNCER, cogeneración a partir de la misma generación distribuida y de gestión eficiente de la energía.</t>
  </si>
  <si>
    <t>Medidas de adaptación al cambio climático implementadas</t>
  </si>
  <si>
    <t>4.1.1.1. Implementar Convenios de Producción más Limpia con los sectores de equipamiento urbano</t>
  </si>
  <si>
    <t>Convenios de Producción Más Limpia</t>
  </si>
  <si>
    <t>Pilotos con acciones de mitigación y adaptación al Cambio Climático</t>
  </si>
  <si>
    <t>Línea estratégica N°.2. Sostenibilidad del recurso natural; Programa N° 2.1. Biodiversidad y riqueza de los ecosistemas terrestres, Proyecto No 2.1.1. Desarrollo forestal sostenible, Actividad 2.1.1.4.
Línea estratégica N°. 4. Sostenibilidad sectorial; Programa N° 4.1. Equipamiento sostenibles. Proyecto No 4.1.1. Producción más limpia. Actividad 4.1.1.1.; Programa N° 4.2. Por un departamento con energías renovables, Proyecto N° 4.2.1. Energía de biogás-biomasa, Actividad 4.2.1.1; Proyecto N° 4.2.2. Energía solar, Actividad 4.2.2.1</t>
  </si>
  <si>
    <t>1.2.3.2. (B) Reducir los aportes de contaminación puntual a los cuerpos de agua a través de sistemas de tratamiento de agua residuales.</t>
  </si>
  <si>
    <t>Número de proyectos con apoyo en la implemenatción de PTARS</t>
  </si>
  <si>
    <t>1.3.1.3. Construir la Canalización para la Recuperación Paisajística y ambiental del Arroyo el Salao Ubicado en el Municipio de Soledad.</t>
  </si>
  <si>
    <t>Metros lineales construidos y canalizados para la recuperación paisajística y ambiental del arroyo</t>
  </si>
  <si>
    <t>1.3.1.4. Realizar seguimiento ambiental a la Canalización para la Recuperación Paisajística y ambiental del Arroyo el Salao Ubicado en el Municipio de Soledad.</t>
  </si>
  <si>
    <t>Documento Técnico de Seguimiento Anual de la recuperación paisajística y ambiental del arroyo</t>
  </si>
  <si>
    <t>1.3.1.5. Realizar seguimiento ambiental a las Obras de canalización de los arroyos del Distrito de Barranquilla.</t>
  </si>
  <si>
    <t>Informe Técnico con el seguimiento a las obras de canalización de los arroyos del Distrito de Barranquilla</t>
  </si>
  <si>
    <t>Gestión Ambiental del Riesgo en áreas urbanas</t>
  </si>
  <si>
    <t>3.1.3.2. Desarrollar un programa de capacitación para formar a jóvenes como gestores ambientales urbanos GAU en el departamento</t>
  </si>
  <si>
    <t>Número de jóvenes como gestores ambientales urbanos</t>
  </si>
  <si>
    <t>Participación Ambiental en gestión ambiental urbana</t>
  </si>
  <si>
    <t>Línea Estratégica N°. 1. Sostenibilidad del recurso hídrico; Programa N° 1.2. Caracterización, cuantificación y recuperación del recurso agua como articulador de los bienes y servicios ambientales. Proyecto 1.2.3. Reducción de la contaminación del recurso hídrico.; Programa N°1.3. Gestión integral de los riesgos asociados al recurso hídrico, Proyecto 1.3.1. Generación de conocimiento y reducción del riesgo asociado al recurso hídrico.
Línea Estratégica N°. 1. 3. Sostenibilidad democrática; Programa N° 3.1. La educación ambiental como proceso de transformación cultural para la sostenibilidad ambientales. Proyecto 3.1.3. Inclusión del tema ambiental en la educación no formal.; Proyecto 3.1.4. Impulso de las estrategias educativas para la construcción de una cultura de prevención y gestión del riesgo
Línea Estratégica N°. 4. Sostenibilidad sectorial, Programa N° 4.4. Prevención, control y monitoreo del aire y suelo, Proyecto N° 4.4.3. Ruido</t>
  </si>
  <si>
    <t>3.1.4.2. Apoyar a las Instituciones Educativas para la formulación y/o actualización de los Planes Escolares de Gestión del Riesgo-PEGR.</t>
  </si>
  <si>
    <t>Número de instituciones educativas apoyadas</t>
  </si>
  <si>
    <t>4.4.3.1. Actualizar los mapas de ruido diurno y nocturno en los municipios con más de 100.000 habitantes del Departamento</t>
  </si>
  <si>
    <t>Número de mapas de ruido diurno y nocturno actualizados</t>
  </si>
  <si>
    <t>Prevención y control de la contaminación del aire en áreas urbanas (fenómento de acumulación o concentracióon de contaminantes en el aire generado por diferentes tipos entre ellos contaminandte criterio, ruido y olores ofensivos)-</t>
  </si>
  <si>
    <t>Línea Estratégica N°. 2. Sostenibilidad del recurso natural; Programa N° 2.3. Estrategias regionales de conservación. Proyecto No 2.3.2. Negocios verdes.</t>
  </si>
  <si>
    <t>2.3.2.1. Actualizar  la  ventanilla nodo de negocios verdes creada para el departamento del Atlántico.</t>
  </si>
  <si>
    <t>2.3.2.2.  Diseñar la Asistencia técnica que permita la consolidación, fortalecimiento  de los Negocios Verdes en el Atlántico</t>
  </si>
  <si>
    <t>2.3.2.3. Desarrollar Ferias para la promoción, divulgaciòn y realización de Negocios Verdes en el departamento del Atlántico.</t>
  </si>
  <si>
    <t xml:space="preserve">2.3.2.4. Celebrar Convenios de Cooperación o alianzas con el sector público o privado nacional o internacional que permita fortalecer la oferta de asitencia técnica y de marketing de los Negocios Verdes existentes en el departamento del Atlántico. </t>
  </si>
  <si>
    <t xml:space="preserve">Protocolizar la creación de la ventanilla o nodo de negocios verdes y/o la suscripción de alianza en la A.A </t>
  </si>
  <si>
    <t>Negocios verdes consolidados</t>
  </si>
  <si>
    <t>Subdirección de Gestión Ambiental</t>
  </si>
  <si>
    <t>Verificar si estan reportando la información solicitada: Caudal</t>
  </si>
  <si>
    <t>Verificar si estan reportando la información solicitada: Volumen</t>
  </si>
  <si>
    <t>SUBDIRECCION GESTION AMBIENTAL</t>
  </si>
  <si>
    <t>Los 23 municipios del Dpto del Atlántico, incluido el distrito de Barranquilla</t>
  </si>
  <si>
    <t>4.3.1.1. Asesorar a los municipios del Dpto. en la inclusión del componente ambiental en los procesos de planificación y ordenamiento territorial, con énfasis en la incorporación de las determinantes ambientales</t>
  </si>
  <si>
    <t xml:space="preserve">Línea Estratégica N°. 4. Sostenibilidad sectorial, Programa N° 4.3. Territorios con planificación ambiental, Proyecto N° 4.3.1. Instrumentos de planificación. Actividad 4.3.1.1 </t>
  </si>
  <si>
    <t>Línea Estratégica N°. 4. Sostenibilidad sectorial, Programa N° 4.4. Prevención, control y monitoreo del aire y suelo, Proyecto N° 4.4.1. Aire. Actividad 4.4.1.1</t>
  </si>
  <si>
    <t>Línea Estratégica N°. 1. Sostenibilidad hídrica; Programa N° 2.3. 1.2. Caracterización, cuantificación y recuperación del recurso agua como articulador de los bienes y servicios ambientales. Proyecto No 1.2.2. Control y prevención de la contaminación del recurso hídrico. Actividad 1.2.2.1.
Línea Estratégica N°. 4. Sostenibilidad sectorial, Programa N° 4.4. Prevención, control y monitoreo del aire y suelo, Proyecto N° 4.4.1. Aire. Actividad 4.4.1.3.; Proyecto N° 4.4.4. Residuos y economía circular, Actividad 4.4.4.4
Línea Estratégica N°. 5. Sostenibilidad institucional; Programa N° 5.6. Sistemas de información ambiental. Proyecto 5.6.2. Sistemas de información ambiental (SIAC). Actividad 5.6.2.2</t>
  </si>
  <si>
    <r>
      <rPr>
        <b/>
        <sz val="10"/>
        <color theme="1"/>
        <rFont val="Calibri"/>
        <family val="2"/>
        <scheme val="minor"/>
      </rPr>
      <t>* SISAIRE</t>
    </r>
    <r>
      <rPr>
        <sz val="10"/>
        <color theme="1"/>
        <rFont val="Calibri"/>
        <family val="2"/>
        <scheme val="minor"/>
      </rPr>
      <t>: El SVCA consta de ocho estaciones, pero debido a fallos del sistema eléctrico se retiró la estación Luruaco, y sólo están instaladas siete estaciones, y la estación FONDO02 Bomberos, se encuentra instalada pero sufrió una avería por daño en la tarjeta electrónica y no reporta datos para el caso de SISAIRE.</t>
    </r>
  </si>
  <si>
    <t>3.1.1.1. Brindar asistencia técnica a los CIDEA municipales para apoyar la formulación del Plan Municipal de Educación Ambiental PMEA</t>
  </si>
  <si>
    <t>3.1.1.2. Apoyar dos acciones contempladas en los PMEA del CIDEA en cada uno de los 22 municipios</t>
  </si>
  <si>
    <t>3.1.1.3. Apoyar la realización de acciones coordinadas y aprobadas por el comité técnico del CIDEA Departamental.</t>
  </si>
  <si>
    <t>3.1.2.2. Impulsar la conformación y/o operatividad de Semilleros de Investigación, Grupos Ecológicos o Clubes de Ciencia y dinamizadores ambientales de los municipios del departamento.</t>
  </si>
  <si>
    <t>3.1.2.3. Establecer alianzas estratégicas con Instituciones de Educación Superior para apoyar la realización de acciones que promuevan la dimensión ambiental.</t>
  </si>
  <si>
    <t>3.1.2.4. (A)Promover la investigación en educación ambiental en el departamento en el marco de la política nacional de educación ambiental (PNEA).</t>
  </si>
  <si>
    <t>3.1.3.1. Brindar apoyo y acompañamiento a los PROCEDA como motivadores de cultura ambiental ciudadana y promotores de la gestión y la resolución de los conflictos socioambientales a nivel local.</t>
  </si>
  <si>
    <t>3.2.1.1. Brindar el servicio de talleres de educación en temas ambientales relacionados a: Conservación de la biodiversidad, servicios ecosistémicos, manejo y uso sostenible de los ecosistemas marino-costeros, gestión del cambio climático, contaminación de suelo, agua y aire, gestión integral de residuos y Economía Circular, contaminación con metales pesados (mercurio), salud ambiental (COTSA), normatividad ambiental.</t>
  </si>
  <si>
    <t>3.2.1.2. Implementar jornadas pedagógicas a través de las Aulas Ambientales itinerantes para promover una conciencia y cultura ambiental en las comunidades del departamento.</t>
  </si>
  <si>
    <t>3.2.2.1. (A) Apoyar las iniciativas de las ONG´s ambientalistas que coadyuve a gestión ambiental de la Corporación CRA en los municipios del Departamento.</t>
  </si>
  <si>
    <t>3.2.2.1. (B) Apoyar las iniciativas de las ONG´s ambientalistas que coadyuve a gestión ambiental de la Corporación CRA en los municipios del Departamento.</t>
  </si>
  <si>
    <t>3.2.2.2. Apoyo a proyectos productivos para la seguridad alimentaria de las comunidades de pescadores y agricultores del departamento.</t>
  </si>
  <si>
    <t>3.2.3.1. (A) Optimizar el servicio de divulgación de la información que genera la Corporación sobre las iniciativas en las temáticas de educación ambiental y participación y los temas ambientales en general.</t>
  </si>
  <si>
    <t>3.2.3.1.(B) Optimizar el servicio de divulgación de la información que genera la Corporación sobre las iniciativas en las temáticas de educación ambiental y participación y los temas ambientales en general.</t>
  </si>
  <si>
    <t>3.2.3.2. Desarrollar jornadas anuales, a nivel departamental, de recolección de residuos posconsumo peligrosos, especiales y RAEE (envases y bolsas de agroquímicos, medicamentos vencidos, baterías usadas plomo ácido, bombillas, pilas, computadores y llantas usadas).</t>
  </si>
  <si>
    <t>3.2.3.3. Promover la utilización de las TICs, a través de la implementación de proyectos virtuales de educación ambiental en busca de innovación, agilidad y cobertura en el acceso a la información y la construcción de conocimiento ambiental.</t>
  </si>
  <si>
    <t>3.2.3.4. (A) Promocionar escenarios de divulgación e intercambio de conocimientos e iniciativas innovadoras en el marco de la educación ambiental, a nivel regional, nacional e internacional.</t>
  </si>
  <si>
    <t>3.2.3.4. (B) Promocionar escenarios de divulgación e intercambio de conocimientos e iniciativas innovadoras en el marco de la educación ambiental, a nivel regional, nacional e internacional.</t>
  </si>
  <si>
    <t>3.2.4.1. Apoyar iniciativas con enfoque diferencial que incorporen la perspectiva de género asociados a la gestión ambiental de la Corporación CRA.</t>
  </si>
  <si>
    <t>3.3.1.1. Apoyar con enfoque diferencial de las iniciativas integrales de emprendimientos produtivos (plantas medicinales, frutales, huertas caseras, y piscicultura entre otras) o iniciativas de protección de la biodiversidad (reforestación, siembra de manglares entre otras)</t>
  </si>
  <si>
    <t>3.3.1.2. Implementación de acciones con enfoque diferencial para fortalecer los conocimientos, usos, costumbres, saberes y prácticas tradicionales ambientales de las comunidades indígenas y Rom del departamento.</t>
  </si>
  <si>
    <t>3.3.1.3. Implementación de acciones con enfoque diferencial para fortalecer los conocimientos, usos, costumbres, saberes y prácticas tradicionales ambientales de las comunidades negras, afrocolombianas, raizales y palenqueras NARP del departamento.</t>
  </si>
  <si>
    <t>Meta anual de avance (%) en la formulación de cada plan.</t>
  </si>
  <si>
    <t>NA</t>
  </si>
  <si>
    <t>Línea estratégica N°. 2. Sostenibilidad del recurso natural; Programa N° 2 1. Gestión de especies. Proyecto 2.1.2. Gestión de especies. Actividad 2.1.2.2</t>
  </si>
  <si>
    <r>
      <t xml:space="preserve">Línea Estratégica N°. 3. Sostenibilidad democrática, </t>
    </r>
    <r>
      <rPr>
        <b/>
        <sz val="10"/>
        <color theme="1"/>
        <rFont val="Calibri"/>
        <family val="2"/>
        <scheme val="minor"/>
      </rPr>
      <t>Programa N° 3.1.</t>
    </r>
    <r>
      <rPr>
        <sz val="10"/>
        <color theme="1"/>
        <rFont val="Calibri"/>
        <family val="2"/>
        <scheme val="minor"/>
      </rPr>
      <t xml:space="preserve"> La educación ambiental como proceso de transformación cultural para la sostenibilidad;</t>
    </r>
    <r>
      <rPr>
        <b/>
        <sz val="10"/>
        <color theme="1"/>
        <rFont val="Calibri"/>
        <family val="2"/>
        <scheme val="minor"/>
      </rPr>
      <t xml:space="preserve"> Programa N° 3.2</t>
    </r>
    <r>
      <rPr>
        <sz val="10"/>
        <color theme="1"/>
        <rFont val="Calibri"/>
        <family val="2"/>
        <scheme val="minor"/>
      </rPr>
      <t xml:space="preserve">. La participación social como fundamento de la gestión ambiental territorial; </t>
    </r>
    <r>
      <rPr>
        <b/>
        <sz val="10"/>
        <color theme="1"/>
        <rFont val="Calibri"/>
        <family val="2"/>
        <scheme val="minor"/>
      </rPr>
      <t>Programa N° 3.3</t>
    </r>
    <r>
      <rPr>
        <sz val="10"/>
        <color theme="1"/>
        <rFont val="Calibri"/>
        <family val="2"/>
        <scheme val="minor"/>
      </rPr>
      <t xml:space="preserve">. La diversidad etnocultural del departamento del atlántico como potencial estratégico para la sostenibilidad ambiental; </t>
    </r>
    <r>
      <rPr>
        <b/>
        <sz val="10"/>
        <color theme="1"/>
        <rFont val="Calibri"/>
        <family val="2"/>
        <scheme val="minor"/>
      </rPr>
      <t>Programa N° 3.4.</t>
    </r>
    <r>
      <rPr>
        <sz val="10"/>
        <color theme="1"/>
        <rFont val="Calibri"/>
        <family val="2"/>
        <scheme val="minor"/>
      </rPr>
      <t xml:space="preserve"> Participación para el seguimientos ods municipales del compenente ambiental</t>
    </r>
  </si>
  <si>
    <t>4.6.1.3. Promover asesorías para el conocimiento y reducción del riesgo de desastres e incorporación de la gestión del riesgo en el ordenamiento territorial de los municipios</t>
  </si>
  <si>
    <r>
      <rPr>
        <b/>
        <sz val="10"/>
        <color theme="1"/>
        <rFont val="Calibri"/>
        <family val="2"/>
        <scheme val="minor"/>
      </rPr>
      <t>Programa 4.6 - COMUNIDADES Y TERRITORIOS CON CONOCIMIENTO Y ADAPTACIÓN A LA GESTIÓN DEL RIESGO</t>
    </r>
    <r>
      <rPr>
        <sz val="10"/>
        <color theme="1"/>
        <rFont val="Calibri"/>
        <family val="2"/>
        <scheme val="minor"/>
      </rPr>
      <t xml:space="preserve">
</t>
    </r>
    <r>
      <rPr>
        <b/>
        <sz val="10"/>
        <color theme="1"/>
        <rFont val="Calibri"/>
        <family val="2"/>
        <scheme val="minor"/>
      </rPr>
      <t>Proyecto: 4.6.1:</t>
    </r>
    <r>
      <rPr>
        <sz val="10"/>
        <color theme="1"/>
        <rFont val="Calibri"/>
        <family val="2"/>
        <scheme val="minor"/>
      </rPr>
      <t xml:space="preserve"> Conocimiento y adaptación a la Gestión del Riesgo
</t>
    </r>
    <r>
      <rPr>
        <b/>
        <sz val="10"/>
        <color theme="1"/>
        <rFont val="Calibri"/>
        <family val="2"/>
        <scheme val="minor"/>
      </rPr>
      <t>A.E- 4.6.1.3</t>
    </r>
    <r>
      <rPr>
        <sz val="10"/>
        <color theme="1"/>
        <rFont val="Calibri"/>
        <family val="2"/>
        <scheme val="minor"/>
      </rPr>
      <t>. Promover asesorías para el conocimiento y reducción del riesgo de desastres e incorporación de la gestión del riesgo en el ordenamiento territorial de los municipios</t>
    </r>
  </si>
  <si>
    <r>
      <t xml:space="preserve">Teniendo en cuenta el Plan de Acción Institucional 2020-2023, la meta está contemplada para cumplirse en las vigencias 2022 y 2023 (Acuerdo de aprobación del Consejo Directivo N°004 del 20 de mayo de 2020) ; a traves del programa:
</t>
    </r>
    <r>
      <rPr>
        <b/>
        <sz val="10"/>
        <color theme="1"/>
        <rFont val="Calibri"/>
        <family val="2"/>
        <scheme val="minor"/>
      </rPr>
      <t>Programa 2.1- BIODIVERSIDAD Y RIQUEZAS DE LOS ESCOSISTEMAS TERRESTRES
Proyecto: 2.1.1 Desarrollo Forestal Sostenile</t>
    </r>
    <r>
      <rPr>
        <sz val="10"/>
        <color theme="1"/>
        <rFont val="Calibri"/>
        <family val="2"/>
        <scheme val="minor"/>
      </rPr>
      <t xml:space="preserve">
2.1.1.1 Implementar el Plan de Acción Regional de Lucha contra la Desertificación y la Sequia que contribuya a la restauración de ecosistemas en zonas secas
2.1.1.5 Implementar un programa de conservación de suelos y promoción de sistemas sostenibles de producción
</t>
    </r>
  </si>
  <si>
    <t>2.1.1.1 Implementar el Plan de Acción Regional de Lucha contra la Desertificación y la Sequia que contribuya a la restauración de ecosistemas en zonas secas</t>
  </si>
  <si>
    <t>2.1.1.5 Implementar un programa de conservación de suelos y promoción de sistemas sostenibles de producción</t>
  </si>
  <si>
    <t>Número total de cuerpos de agua con reglamentación del uso de las aguas a 31/12/2021:</t>
  </si>
  <si>
    <t>Línea estratégica N°. 2. Sostenibilidad del recurso natural; Programa N° 2.3. Estrategias regionales de conservación. Proyecto 2.3.1. Áreas protegidas
Acciones Estrategicas: 2.3.1.2 - 2.3.1.6 - 2.3.1.7 - 2.3.1.8- 2.3.1.9 - 2.3.1.10</t>
  </si>
  <si>
    <t>2.3.1.6. Formular y ejecutar Programas de asistencia técnica para la implementación de estrategias educativo ambientales y de participación encaminadas a la conservación de las áreas protegidas declaradas en el departamento del Atlántico.</t>
  </si>
  <si>
    <t>2.3.1.2. Establecer acciones para promover la conservación efectiva y el cumplimiento del plan de manejo de las áreas protegidas declaradas.</t>
  </si>
  <si>
    <t>Continental y Marina</t>
  </si>
  <si>
    <t>Flora y Fauna</t>
  </si>
  <si>
    <t>Se programó la meta para avance en la vigencia 2022 y cumplimiento en la vigencia 2023, mediante el Programa 2.3 - Proyecto 2.3.1 - Acción Estrategica 2.3.1.3</t>
  </si>
  <si>
    <r>
      <t xml:space="preserve">Línea estratégica N°. 2. Sostenibilidad del recurso natural
</t>
    </r>
    <r>
      <rPr>
        <b/>
        <sz val="10"/>
        <color theme="1"/>
        <rFont val="Calibri"/>
        <family val="2"/>
        <scheme val="minor"/>
      </rPr>
      <t xml:space="preserve">Programa N° 2 2.. Biodiversidad y Riqueza de los Ecosistemas Marino Costeros. </t>
    </r>
    <r>
      <rPr>
        <sz val="10"/>
        <color theme="1"/>
        <rFont val="Calibri"/>
        <family val="2"/>
        <scheme val="minor"/>
      </rPr>
      <t xml:space="preserve">
Proyecto 2.2.1 Ordenamiento Ambiental de la Unidad Costera
Proyecto 2.2.3. Conservación de ecosistemas Marinos y Costeros</t>
    </r>
  </si>
  <si>
    <r>
      <t xml:space="preserve">Seis (6) Acciones Estrategicas para el cuatrienio: </t>
    </r>
    <r>
      <rPr>
        <b/>
        <sz val="10"/>
        <color theme="1"/>
        <rFont val="Calibri"/>
        <family val="2"/>
        <scheme val="minor"/>
      </rPr>
      <t>2.2.1.1-2.2.1.2-2.2.2.1-2.2.3.1-.2.2.3.2</t>
    </r>
  </si>
  <si>
    <r>
      <t xml:space="preserve">Según la priorización de las 6 especies invasoras reportada de acuerdo  a Resolución No. 0346 del 24 de Marzo 2022, la corporación determinó realizar medidas de prevención, control y manejo a 2 de ellas, para lo cual se realizó en su totalidad a estas 2, cumpliendo 100% a la meta establecida en el PAI 2020-2023.
</t>
    </r>
    <r>
      <rPr>
        <sz val="8"/>
        <color theme="1"/>
        <rFont val="Calibri"/>
        <family val="2"/>
        <scheme val="minor"/>
      </rPr>
      <t xml:space="preserve">Estas 6 especies son: 
</t>
    </r>
    <r>
      <rPr>
        <b/>
        <sz val="8"/>
        <color rgb="FFC00000"/>
        <rFont val="Calibri"/>
        <family val="2"/>
        <scheme val="minor"/>
      </rPr>
      <t>Flora continental:</t>
    </r>
    <r>
      <rPr>
        <sz val="8"/>
        <color theme="1"/>
        <rFont val="Calibri"/>
        <family val="2"/>
        <scheme val="minor"/>
      </rPr>
      <t xml:space="preserve">
• Buchon (Eichornia crassipes)
</t>
    </r>
    <r>
      <rPr>
        <b/>
        <sz val="8"/>
        <color rgb="FFC00000"/>
        <rFont val="Calibri"/>
        <family val="2"/>
        <scheme val="minor"/>
      </rPr>
      <t>Fauna continental:</t>
    </r>
    <r>
      <rPr>
        <sz val="8"/>
        <color theme="1"/>
        <rFont val="Calibri"/>
        <family val="2"/>
        <scheme val="minor"/>
      </rPr>
      <t xml:space="preserve">
• Caracol Gigante Africano (Achatina áulica); 
• Rana Coqui (Eleutherodactylus coquí),
</t>
    </r>
    <r>
      <rPr>
        <b/>
        <sz val="8"/>
        <color rgb="FFC00000"/>
        <rFont val="Calibri"/>
        <family val="2"/>
        <scheme val="minor"/>
      </rPr>
      <t>Fauna Marina:</t>
    </r>
    <r>
      <rPr>
        <sz val="8"/>
        <color theme="1"/>
        <rFont val="Calibri"/>
        <family val="2"/>
        <scheme val="minor"/>
      </rPr>
      <t xml:space="preserve">
• Camarón de Asia (Penaeus monodon);
• Tilapia negra (Oreochromis mossaambicus);
• Pez Leon (Pterois volitans) </t>
    </r>
    <r>
      <rPr>
        <sz val="10"/>
        <color theme="1"/>
        <rFont val="Calibri"/>
        <family val="2"/>
        <scheme val="minor"/>
      </rPr>
      <t xml:space="preserve">
</t>
    </r>
  </si>
  <si>
    <r>
      <rPr>
        <sz val="8"/>
        <color theme="1"/>
        <rFont val="Calibri"/>
        <family val="2"/>
        <scheme val="minor"/>
      </rPr>
      <t xml:space="preserve"> Según la priorización de las especies amenazadas en la jurisdicción, reportada de acuerdo  a Resolución No. 0346 del 24 de Marzo 2022 se tiene: 
</t>
    </r>
    <r>
      <rPr>
        <b/>
        <sz val="8"/>
        <color rgb="FFC00000"/>
        <rFont val="Calibri"/>
        <family val="2"/>
        <scheme val="minor"/>
      </rPr>
      <t>Fauna Continental</t>
    </r>
    <r>
      <rPr>
        <sz val="8"/>
        <color theme="1"/>
        <rFont val="Calibri"/>
        <family val="2"/>
        <scheme val="minor"/>
      </rPr>
      <t xml:space="preserve">
• Oso hormiguero  (Myrmecophaga tridactyla)
• Mono nocturno (Aotus griseimembra)
• Chavarrí (Chauna chavaria)
• Colibrí ventrizafiro (Chrysuronia lilliae)
• Garza rojiza (Egretta rufescens)  
• Chamón caribeño (Molothrus aeneus)  
• Morrocoy (Chelonoidis carbonarius)
• Reinita celulea (Setophaga cerúlea)
</t>
    </r>
    <r>
      <rPr>
        <b/>
        <sz val="8"/>
        <color rgb="FFC00000"/>
        <rFont val="Calibri"/>
        <family val="2"/>
        <scheme val="minor"/>
      </rPr>
      <t xml:space="preserve"> Fauna Marina</t>
    </r>
    <r>
      <rPr>
        <sz val="8"/>
        <color theme="1"/>
        <rFont val="Calibri"/>
        <family val="2"/>
        <scheme val="minor"/>
      </rPr>
      <t xml:space="preserve">
• Cocodrilo americano (Crocodylus acutus)
• Tortuga del río Magdalena (Podocnemis lewyana)
</t>
    </r>
    <r>
      <rPr>
        <b/>
        <sz val="8"/>
        <color rgb="FFC00000"/>
        <rFont val="Calibri"/>
        <family val="2"/>
        <scheme val="minor"/>
      </rPr>
      <t>Flora Continental</t>
    </r>
    <r>
      <rPr>
        <sz val="8"/>
        <color theme="1"/>
        <rFont val="Calibri"/>
        <family val="2"/>
        <scheme val="minor"/>
      </rPr>
      <t xml:space="preserve">
• Carreto (Aspidosperma  polyneuron)  
• Ceiba roja (Pachira quinata) 
• Cedro (Cedrela odorata) 
• Guayacan (Bulnesia arborea)
• Guayacan de cartagena (Guaiacum officinale)</t>
    </r>
    <r>
      <rPr>
        <sz val="10"/>
        <color theme="1"/>
        <rFont val="Calibri"/>
        <family val="2"/>
        <scheme val="minor"/>
      </rPr>
      <t xml:space="preserve">
</t>
    </r>
  </si>
  <si>
    <t>Superficie cubierta en el Plan de Ordenación Forestal adoptado a Resolución No.859 del 2018 de la C.R.A</t>
  </si>
  <si>
    <t>1.3.1.1. Identificar y caracterizar la Vulnerabilidad de los ecosistemas claves para la regulación Hídrica e inventariar los riesgos sobre infraestructuras de abastecimiento de agua.</t>
  </si>
  <si>
    <t>1.3.1.2. Diseñar e Implementar medidas de adaptación a los efectos del cambio climático asociados al recurso Hídrico (Reconformación de taludes y/o diques de protección)</t>
  </si>
  <si>
    <t>No hay meta programada para la presente vigencia en estas acciones estrategicas</t>
  </si>
  <si>
    <t>3.1.2.4. (B) Promover la investigación en educación ambiental en el departamento en el marco de la política nacional de educación ambiental (PNEA).</t>
  </si>
  <si>
    <t>3.1.4.1. Posicionar el tema de la prevención y gestión del riesgo del desastre desde una visión educativa integradora en los Consejos Municipales de Gestión del Riesgo-CMGR de los municipios del Atlántico</t>
  </si>
  <si>
    <r>
      <t xml:space="preserve">3.1.2.1. Brindar </t>
    </r>
    <r>
      <rPr>
        <sz val="9"/>
        <rFont val="Calibri"/>
        <family val="2"/>
        <scheme val="minor"/>
      </rPr>
      <t>asistencia</t>
    </r>
    <r>
      <rPr>
        <sz val="9"/>
        <color rgb="FF000000"/>
        <rFont val="Calibri"/>
        <family val="2"/>
        <scheme val="minor"/>
      </rPr>
      <t xml:space="preserve"> técnica a los Proyectos Ambientales Escolares (PRAE) y apoyar acciones para su implementación.</t>
    </r>
  </si>
  <si>
    <t>No tiene meta definida para la vigencia, por lo tanto no se incluye en el cálculo</t>
  </si>
  <si>
    <t>Resolución 72 del 27 Enero de 2017</t>
  </si>
  <si>
    <t>Plan de Manejo de Acufiero de Sabanalarga - Tubará</t>
  </si>
  <si>
    <t>El POMCA aprobado corresponde a Cuenca Mallorquín el cual fue adoptado en el año 2017</t>
  </si>
  <si>
    <t>Línea Estratégica N°. 4. Sostenibilidad sectorial, Programa N° Instrumenos económicos y de control ambiental. ACCIÓN ESTRATÉGICA No. 4.5.1.1. Promover la eficiencia en la evaluación, seguimiento y control de trámites ambientales</t>
  </si>
  <si>
    <t>Línea Estratégica N°. 4. Sostenibilidad sectorial, Programa N° Instrumenos económicos y de control ambiental. ACCIÓN ESTRATÉGICA No. 4.5.1.2. Atender oportuna y eficazmente las quejas ambientales y procesos sancionatorios</t>
  </si>
  <si>
    <t>1.1.1.4. Hacer seguimiento al Plan de Ordenación y Manejo de Cuencas Hidrográficas del Complejo de Humedades del Río Magdalena.</t>
  </si>
  <si>
    <t>1.1.1.5. Hacer seguimiento al Plan de Ordenación y Manejo de Cuencas Hidrográficas del Canal del Dique</t>
  </si>
  <si>
    <t>1.1.1.3. Hacer seguimiento al Plan de Ordenación y Manejo de Cuencas Hidrográficas de la Ciénaga de Mallorquín y los Arroyos Grande y León.</t>
  </si>
  <si>
    <t>Mediante acuerdo de consejo directivo de agosto de 2022 (Acuerdo No. 11) se ajustaron las acciones estrategicas 1.1.1.3 - 1.1.1.4 - 1.1.1.5- 1.1.2.2</t>
  </si>
  <si>
    <t>Restauración</t>
  </si>
  <si>
    <t>Fauna</t>
  </si>
  <si>
    <t>2.2.1.2. Adelantar e implementar acciones encaminadas a impulsar el ecoturismo sostenible en zonas de la franja costera del departamento del Atlántico.</t>
  </si>
  <si>
    <t xml:space="preserve">2.2.2.1. Definir e implementar acciones para controlar y mitigar el estado de la Erosión Costera en el Departamento del Atlántico.       </t>
  </si>
  <si>
    <t>Estrategia de manejo sostenible</t>
  </si>
  <si>
    <t>Acciones para mitigar y controlar el estado de erosión costera</t>
  </si>
  <si>
    <t>Es importante mencionar que, la CRA tiene jurisdicción en el área rural del distrito de Barranquilla; sin embargo, el PGIRS del distrito en su mayoría va dirigido al área urbana del mismo, razón por la cual el seguimiento ambiental del instrumento es realizado por EPA Barranquilla Verde. En consecuencia, se aprobó en consejo directivo mediante el Acuerdo No.11 de 2022 la modificación de este indicador de 23 a 22.</t>
  </si>
  <si>
    <t xml:space="preserve">4.2.3.1. Conocer el potencial de energía eólica en el Departamento del Atlántico.
</t>
  </si>
  <si>
    <t>Estudios de evaluación Geoespacial</t>
  </si>
  <si>
    <t>La cuenca se encuentra en jurisdicción de CRA, CARDIQUE Y CARSUCRE, la extensión total es de 441.010,7742 ha; la extension en jurisdicción de la CRA es de 113.756,6186 ha. Si bien, no se llego al proceso de adopción del POMCA,  se adelantaron reuniones con aquellas comunidades con las que no se ha realizado consulta previa para conocer sus propuestas frente a la zonificación proyectada.</t>
  </si>
  <si>
    <t xml:space="preserve">Canal del Dique
Rio Magdalena
Mallorquín
Mar Caribe </t>
  </si>
  <si>
    <t xml:space="preserve">Canal del Dique
Rio Magdalena
</t>
  </si>
  <si>
    <t xml:space="preserve">Mallorquín
</t>
  </si>
  <si>
    <t>Canal del Dique
Rio Magdalena</t>
  </si>
  <si>
    <t>PMA Sabanalarga - Tubará</t>
  </si>
  <si>
    <t xml:space="preserve">En el marco del contrato, se recopiló información a través de un trabajo en campo que permitió construir un documento que contiene los pasos y/o procesos para llevar a cabo el cumplimiento de la FASE I, teniendo en cuenta los procedimientos y criterios básicos que se plantean en la Resolución 1125 del 2015.  La finalidad de esta fase es que, a partir de las iniciativas y prioridades de conservación, se identifique el área para iniciar un proceso de declaratoria o ampliación. En esta fase, se realizan los primeros acercamientos con los actores estratégicos relacionados con el área (comunidades, instituciones, empresas, organizaciones sociales o entes territoriales, entre otros). para el caso particular, esta fase se aplicó para la zona potencial de conservación denominada CERRO LA VIEJA ubicada en el municipio Piojó Atlántico. </t>
  </si>
  <si>
    <t>Oficina Asesora de Planeación - Subdirección Financiera</t>
  </si>
  <si>
    <t>gescaf@crautonoma.gov.co -  tpimienta@crautonoma.gov.co</t>
  </si>
  <si>
    <t xml:space="preserve">Jefe Oficina Asesora de Planeación - Subdirector Financiero </t>
  </si>
  <si>
    <t>Estado de avance a 31 de diciembre de 2023(%)</t>
  </si>
  <si>
    <t>Estado de avance a 31 de diciembre de 2023(c)</t>
  </si>
  <si>
    <t xml:space="preserve">Oficina Asesora de Planeación </t>
  </si>
  <si>
    <t xml:space="preserve">Jefe Oficina Asesora de Planeación </t>
  </si>
  <si>
    <t>OFICINA ASESORA DE PLANEACION</t>
  </si>
  <si>
    <t xml:space="preserve">Durante el 2021, a través de Resolución 691 del 2021 se adoptaron los PORH de las ciénagas de Sabanagrande, Santo Tomás y Palmar de Varela que se formularon en el 2020
Para la vigencia 2022, se formuló el PORH Ciénaga de Malambo, la cual tenía programación de ejecución 2021. 
Para la vigencia 2023, se formuló el PORH de la Ciénaga La Bahía. </t>
  </si>
  <si>
    <t xml:space="preserve">Si bien es cierto que el POMCA Río Magdalena no se encuentra adoptado bajo el marco normativo del Decreto 1076 de 2015, al respecto, es preciso mencionar que se ha avanzado en el proceso de adopción del POMCA Río Magdalena, de tal forma que durante el primer semestre se logró la concertación del documento de formulación del instrumento, con el Consejo de Cuenca en reunión celebrada el día 12 de abril de 2023. 
A la fecha del presente informe, el documento de formulación del POMCA se encuentra en edición, así mismo se encuentran adelantándose las gestiones para la publicación en el Diario Oficial del Aviso que informa a la comunidad la culminación del proceso de formulación del instrumento, por lo que se espera adoptar finalizando la vigencia 2023. 
</t>
  </si>
  <si>
    <t xml:space="preserve">Al cierre de la vigencia 2023,  se avanzó en la adopción de este instrumento bajo el marco normativo del Decreto 1076 de 2015, teniendo en cuenta, que no se han culmidado la totalidad de las consultas previas con las comunidades objeto de las mismas, asentadas en la respectiva cuenca; sin embargo, esta Corporación adelantó reunión el día 31 de marzo de 2023, en las instalaciones de la C.R.A., con el Fondo de Adaptación para conocer avances en la ejecución del Convenio 012 del 2014, suscrito para adelantar el proceso de formulación y adopción de los ajustes al POMCA CANAL DE DIQUE.  
No obsante, se ha dificultado avanzar en el proceso de adopción ya que no ha sido posible concertar reuniones con las comunidades pendientes de consulta previa pese a que se han intentado los acercamientos. 
</t>
  </si>
  <si>
    <t>Al cierre de la vigencia 2023, se da cumplimiento a la meta dado que se encuentran conformados  3 Consejos de Cuenca en actividad, representado en las acciones detalladas en adelante.
Como mecanismo de participación efectiva de los usuarios en la Planeación, Administración, Vigilancia y Monitoreo del recurso Hídrico se encuentran conformados tres (3) Consejos de Cuencas:
­	Ciénaga de Mallorquín y los arroyos Grande y León
­	Complejo de humedales de la vertiente occidental del Río Magdalena en el departamento del Atlántico. 
­	Canal del Dique</t>
  </si>
  <si>
    <t>Con las actividades desarrolladas para asesorar a los municipios del departamento del Atlántico en lo que corresponde a la incorporación del componente de gestión de riesgos a sus instrumentos de planificación, podemos indicar que al 31 de diciembre de 2023 la meta presenta se cumplió en el 100% de municipios asesorados.</t>
  </si>
  <si>
    <t xml:space="preserve">A corte 31 de Diciembre de 2023, fueron asesorados los 23 municipios de la jurisdicción de esta Corporación, incluyendo al Distrito de Barranquilla, en la inclusión del componente ambiental en los procesos de planificación y ordenamiento territorial, con énfasis en gestión del riesgo y adaptación al cambio climático. Estas asistencias se llevaron a cabo de manera presencial y organizando a los municipios teniendo en cuenta la cercanía entre ellos. Se contó con la participación de miembros de los concejos municipales de algunos entes territorial y de algunos miembros de los consejos de ordenamiento territorial municipales, quienes manifestaron su interés en hacer parte de estas jornadas.
</t>
  </si>
  <si>
    <t xml:space="preserve">Para garantizar el cumplimiento de la meta, la C.R.A suscribió el Convenio  No. 009 de 2023 con la Alianza Pública para el Desarrollo Integral – ALDESARROLLO cuyo Objeto es : “AUNAR ESFUERZOS TÉCNICOS, ADMINISTRATIVOS, Y FINANCIEROS PARA DAR CONTINUIDAD AL DESARROLLO DE UN PROGRAMA DE FORTALECIMIENTO DE LA GESTIÓN AMBIENTAL SOSTENIBLE DE LOS RECURSOS NATURALES Y SECTORIALES, QUE CONTRIBUYA A LA CONSERVACIÓN DE LA BIODIVERSIDAD Y RIQUEZA DE LOS ECOSISTEMAS TERRESTRES Y MARINO COSTEROS DEL DEPARTAMENTO DEL ATLÁNTICO”.
En cumplimiento del programa de lucha contra la desertificación se seleccionó el Municipio de Sabanalarga como localización del proyecto para la restauración de 40 Ha, actividad que se encuentra en la ejecución de la construcción del método para la restauración ecológica de las hectáreas mencionadas.
</t>
  </si>
  <si>
    <t>La Corporación Autónoma Regional del Atlántico suscribió el Convenio No. 001 de 2023 con la Corporación Universidad Americana cuyo objeto es “DESARROLLO CONJUNTO DE ESTRATEGIAS DE EDUCACIÓN AMBIENTAL EN RELACIÓN CON LA CONSERVACIÓN DE LA BIODIVERSIDAD EN EL DEPARTAMENTO DEL ATLÁNTICO Y PROMOVER UN PROGRAMA DE CONSERVACIÓN DE ESPECIES DE FAUNA Y FLORA SILVESTRE CON ALGÚN RANGO DE AMENAZA CON LA PARTICIPACIÓN DE LAS COMUNIDADES LOCALES”.</t>
  </si>
  <si>
    <t xml:space="preserve">La Corporación Autónoma Regional del Atlántico suscribió el Convenio No. 001 de 2023 con la Corporación Universidad Americana, cuyo objeto es “DESARROLLO CONJUNTO DE ESTRATEGIAS DE EDUCACIÓN AMBIENTAL EN RELACIÓN CON LA CONSERVACIÓN DE LA BIODIVERSIDAD EN EL DEPARTAMENTO DEL ATLÁNTICO Y PROMOVER UN PROGRAMA DE CONSERVACIÓN DE ESPECIES DE FAUNA Y FLORA SILVESTRE CON ALGÚN RANGO DE AMENAZA CON LA PARTICIPACIÓN DE LAS COMUNIDADES LOCALES”.
Dentro de las actividades planteadas en el proyecto se encuentran la de establecer acciones para promover la conservación efectiva y el cumplimiento de las áreas protegidas declaradas, para ello, con el ánimo de promover la conservación de los recursos naturales se realizan acciones establecidas en los planes de manejo de las áreas de:
-Reserva Forestal Protectora El Palomar ubicada en el municipio de Piojó.
-Distrito Regional de Manejo Integrado DRMI Palmar del Titi, ubicada ente los municipios de Luruaco y Piojó.
</t>
  </si>
  <si>
    <t>El seguimiento se realiza a los 23 municipios incluido el municipio de Barranquilla, para efectos del IMG se hace seguimiento a los PSMV que estan aprobados, los cuales corresponden a 22 municipios para la vigencia 2023.
Se adelantó seguimiento al estado de cumplimiento de los 23 municipios objeto de aplicación del plan de saneamiento y manejo de vertimientos - PSMV, de los cuales 22 se encuentran vigentes (Soledad, Galapa, Puerto Colombia, Santo Tomás, Sabanagrande, Sabanalarga, Baranoa, Tubará, Palmar de Varela, Barranquilla, Usiacurí, Campo de la Cruz, Candelaria, Santa Lucía, Piojó , Juan de Acosta, Manatí, Repelón, Luruaco, Malambo, Ponedera).</t>
  </si>
  <si>
    <t>Línea estratégica N°. 2. Sostenibilidad del recurso natural; Programa N° 2 1. Gestión de especies. Proyecto 2.1.2. Gestión de especies. Actividad 2.1.2.3 - 2.1.2.5.</t>
  </si>
  <si>
    <t xml:space="preserve">Las acciones desarrolladas se ejecutaron en el marco del Convenio No. 001 del 2023 con la Corporación Universidad Americana, cuyo Objeto es el “DESARROLLO CONJUNTO DE ESTRATEGIAS DE EDUCACIÓN AMBIENTAL EN RELACIÓN CON LA CONSERVACIÓN DE LA BIODIVERSIDAD EN EL DEPARTAMENTO DEL ATLÁNTICO Y PROMOVER UN PROGRAMA DE CONSERVACIÓN DE ESPECIES DE FAUNA Y FLORA SILVESTRE CON ALGÚN RANGO DE AMENAZA CON LA PARTICIPACIÓN DE LAS COMUNIDADES LOCALES”.
Se han realizado talleres dirigidos a la comunidad de los municipios de Santo Tomás, Ponedera y Palmar de Valera, en los cuales han participado 210 personas. A través de mesas de trabajo se escogieron las 6 especies, teniendo en cuenta su grado de amenaza y la manera como culturalmente son utilizadas por las comunidades atentando con la supervivencia de las mismas.
Selección de Especies Amenazadas para Cartilla
1. Caimán Aguja (Crododylus acutus)
2. Hicotea (Trachemys callirostris)
3. Titi Cabeciblanco (Saguinus oedipus)
4. Cedro (Cedrela odorata)
5.  Manatí ( Trichechus manatus)
6. Chavarrí (Chauna chavaria)
</t>
  </si>
  <si>
    <t>Flora</t>
  </si>
  <si>
    <t>La Corporación Autónoma Regional del Atlántico suscribió el Convenio No. 011 del 2023 con la Fundación para la Investigación y el Desarrollo de Colombia – FINDECO, cuyo Objeto es el “DESARROLLO CONJUNTO DE ESTRATEGIAS PEDAGÓGICAS, A TRAVÉS DE TALLERES PEDAGÓGICOS PRÁCTICOS, A FIN DE FORTALECER A LOS ACTORES DE LA UNIDAD AMBIENTAL COSTERA, SOBRE EL MANEJO SOSTENIBLE DE LA ZONA COSTERA, PROTECCIÓN DE LAS ZONAS ABASTECEDORAS DEL RECURSO HÍDRICO Y ECOTURISMO SOSTENIBLE”.</t>
  </si>
  <si>
    <t xml:space="preserve">La Corporación Autónoma Regional suscribió el Convenio No. 001 de 2023 con la Corporación Universidad Americana  cuyo objeto es “DESARROLLO CONJUNTO DE ESTRATEGIAS DE EDUCACIÓN AMBIENTAL EN RELACIÓN CON LA CONSERVACIÓN DE LA BIODIVERSIDAD EN EL DEPARTAMENTO DEL ATLÁNTICO Y PROMOVER UN PROGRAMA DE CONSERVACIÓN DE ESPECIES DE FAUNA Y FLORA SILVESTRE CON ALGÚN RANGO DE AMENAZA CON LA PARTICIPACIÓN DE LAS COMUNIDADES LOCALES” .
Dentro de las actividades planteadas se encuentra la implementación proyectos de restauración y conectividad del Bosque Seco enmarcadas en el SIRAP, SIDAP, SILAP en el Atlántico.
Dando continuidad a los procesos de apoyo comunitario, en los procesos de conservación de bosques secos en ecosistemas estratégicos se realizó una reunión con la comunidad de Punta Polonia en el municipio de Manatí, con la cual fueron identificadas 56 hectáreas de bosque seco con el objetivo de iniciar un proceso de restauración. 
</t>
  </si>
  <si>
    <t xml:space="preserve">Se da cumplimiento a la meta de 2 Playas con estrategia de manejo sostenible a través del Convenio No. 011 del 2023, celebrado con la Fundación para la Investigación y el Desarrollo de Colombia – FINDECO cuyo Objeto es “DESARROLLO CONJUNTO DE ESTRATEGIAS PEDAGÓGICAS, A TRAVÉS DE TALLERES PEDAGÓGICOS PRÁCTICOS, A FIN DE FORTALECER A LOS ACTORES DE LA UNIDAD AMBIENTAL COSTERA, SOBRE EL MANEJO SOSTENIBLE DE LA ZONA COSTERA, PROTECCIÓN DE LAS ZONAS ABASTECEDORAS DEL RECURSO HÍDRICO Y ECOTURISMO SOSTENIBLE”.
Corredor de Playa No 1: Puerto Colombia (3 playas)
Corredor de Playa No 2: Tubará y Juan de Acosta
</t>
  </si>
  <si>
    <t xml:space="preserve">Para el cumplimiento de la meta, se desarrollaron acciones a través del Convenio No. 008 de 2023 con el Instituto de Investigaciones Marinas y Costeras Jose Benito Vives de Andreis – INVEMAR cuyo  Objeto es “AUNAR ESFUERZOS TÉCNICOS, ADMINISTRATIVOS Y FINANCIEROS PARA REALIZAR EL MONITOREO DE CALIDAD DE AGUAS MARINAS Y COSTERAS EN EL MARCO DE LA REDCAM, DIAGNÓSTICO DEL ECOSISTEMA DE PASTOS MARINOS EN PUERTO VELERO Y SEGUIMIENTO A LA EROSIÓN COSTERA EN LA CIÉNAGA DE MALLORQUÍN”.
En el marco del convenio, las actividades desarrolladas dentro del mismo enmarcan la generación del estado del arte que se encuentran orientadas a recopilar, analizar y sintetizar información de las investigaciones sobre la erosión costera en la Ciénaga de Mallorquín. 
</t>
  </si>
  <si>
    <t>No cuenta con meta programada para la vigencia 2023.</t>
  </si>
  <si>
    <t>Número total de Planes de Gestión Integral de Residuos Sólidos (PGIRS) priorizados por la Corporación para hacer seguimiento, exclusivamente en lo relacionado con las metas de aprovechamiento, en el cuatrienio.</t>
  </si>
  <si>
    <t>Se da cumplimiento a la meta programada para la presente vigencia con la ejecución el contrato No. 292 de 2023 cuyo objeto es: “REALIZAR LAS ACCIONES PARA GARANTIZAR LA SOSTENIBILIDAD HÍDRICA Y AMBIENTAL DE LA CIÉNAGA DE MALLORQUÍN Y LA RECUPERACIÓN DE LA HIDRODINÁMICA DEL ARROYO LEÓN EN EL DEPARTAMENTO DEL ATLÁNTICO”. Lo anterior, con la finalidad de realizar acciones que mitiguen la erosión costera en el departamento del Atlántico y recuperen la hidrodinámica del arroyo León garantizando la sostenibilidad ambiental de la ciénaga de Mallorquín, obras que permitirán fortalecer el ordenamiento territorial y la resiliencia ecosistémica encaminada a minimizar los efectos del cambio climático</t>
  </si>
  <si>
    <t>La Corporación Autónoma Regional del Atlántico a traves del Contrato No. 440 del 2019, se encuentra ejecutando dos proyectos de implmentación de PTARs para beneficiar a los Municipios de Sabanagrande y Palmar de Varela en el Departamento del Atlántico.
Con el adicional No. 3 al contrato No. 440 del 2019 cuyo objeto es: “CONSTRUCCIÓN PLANTA DE TRATAMIENTO DE AGUAS RESIDUALES PARA LOS MUNICIPIOS DE SANTOTOMÁS, SABANAGRANDE Y PALMAR DE VARELA, UBICADA E SANTO TOMÁS – DEPARTAMENTO DEL ATLÁNTICO” se da cumplimiento a la meta de municipios con apoyo en la implementación de las PTARS.</t>
  </si>
  <si>
    <t xml:space="preserve">
Durante esta vigencia se construyeron 350 Metros lineales .
Con la suscripción del Adicional No. 04 del Contrato de Obra No. 0367 de 2014, se materializó la construcción de 350 m del Afluente No. 02 (Arroyo Coolechera), el cual tributa sus aguas hacia el Arroyo El Salao, de igual manera se llevó a cabo la construcción de los 80 m finales del Arroyo Villegas, actividades que contribuyen a mejorar la calidad de vidad de las comunidades que colindan con estos canales de aguas pluviales, cumpliendo con la meta programada para la vigencia 2023.
</t>
  </si>
  <si>
    <t xml:space="preserve">De acuerdo con lo establecido en el Contrato de Obra No. 367 del 2014, se debe entregar un informe mensual de avance de ejecución física de la obra, por parte del contratista y de la interventoría. 
A corte de la vigencia 2023, las obras de canalización del Arroyo El Salao se encuentran finalizadas. Desde que se inició el proyecto en el año 2014, se han entregado 90 informes mensuales de avance de las obras de recuperación paisajística y ambiental del arroyo El Salao, los cuales han servido de insumo para la elaboración del respectivo de informe de supervisión. A la fecha se están adelantando actividades de monitoreo del proyecto.
Teniendo en cuenta lo anterior, se da cumplimiento a la meta programada para la vigencia 2023.
</t>
  </si>
  <si>
    <t>La Corporación solicitó informe técnico de seguimiento a las obras de canalización de los arroyos del Distrito de Barranquilla, establecidas en el marco del Convenio No. 031 de 2016 entre la Corporación Autónoma Regional del Atlántico y la Alcaldía Distrital de Barranquilla a través de oficio No. 4285 de 09 de agosto de 2023. De igual manera la Agencia Distrital de infraestructura – ADI presentó informe de ejecución de obras ante esta Corporación el día 11 de septiembre de 2023 a través de radicado No. 202314000088022.</t>
  </si>
  <si>
    <t xml:space="preserve">La Corporación Autónoma Regional del Atlántico – C.R.A, a través de la Escuela de Liderazgo Regional Ambiental, en alianza con la Corporación Univesidad Reformada – CUR, viene ejecutando el convenio de asociación No.004 del 2023 cuyo objeto es: “AUNAR ESFUERZOS PARA EL DESARROLLO CONJUNTO DE UN PROGRAMA DE FORMACIÓN CIUDADANA, A TRAVÉS DE ACTORES COMUNITARIOS A DOTAR CON CAPACIDAD TÉCNICA PARA ORIENTAR LOS PROCESOS PARTICIPATIVOS EN TERRITORIOS”, por medio del cual desarrollamos entre otras actividades, un proceso de capacitación teórico práctica con jóvenes de diferentes municipios del departamento del Atlántico, quienes se formaron como Gestores Ambientales Urbanos - GAU en el Departamento”. Con estas acciones se dio cumplimiento al 100% de la meta programada. </t>
  </si>
  <si>
    <t xml:space="preserve">Para la presente vigencia 2023,  a través del Convenio No. 009 del 2023 cuyo Objeto es: “AUNAR ESFUERZOS TÉCNICOS, ADMINISTRATIVOS, Y FINANCIEROS PARA DAR CONTINUIDAD AL DESARROLLO DE UN PROGRAMA DE FORTALECIMIENTO DE LA GESTIÓN AMBIENTAL SOSTENIBLE DE LOS RECURSOS NATURALES Y SECTORIALES, QUE CONTRIBUYA A LA CONSERVACIÓN DE LA BIODIVERSIDAD Y RIQUEZA DE LOS ECOSISTEMAS TERRESTRES Y MARINO COSTEROS DEL DEPARTAMENTO DEL ATLÁNTICO”.
En ejecución de esta actividad se vinculó a la firma CONTROL DE LA CONTAMINACIÓN LTDA, para la elaboración del mapa de ruido Diurno y Nocturno actualizado en el Municipio de Baranoa. 
Se realizaron visita de campo con la finalidad de identificar los puntos de interés y mayor generación de ruido (Plaza principal, Bares, sector comercial). Se hizo entrega del informe preliminar “PLAN PARA LA ACTUALIZACIÓN DEL MAPA DE RUIDO DIURNO Y NOCTURNO EN EL MUNICIPIO DE BARANOA, PRIORIZADO DEL DEPARTAMENTO DEL ATLÁNTICO”. Se seleccionaron de cincuenta (50) a sesenta (60) puntos de interés para medición de ruido, que serán aforados para la generación del mapa de ruido del Municipio y posterior Plan de Descontaminación de Ruido.
</t>
  </si>
  <si>
    <t>No hay programación para la vigencia 2023</t>
  </si>
  <si>
    <t>A corte 31 de diciembre de 2023, fueron asesorados los 23 municipios de la jurisdicción de esta Corporación, incluyendo al Distrito de Barranquilla, en la inclusión del componente ambiental en los procesos de planificación y ordenamiento territorial, con énfasis en la incorporación de las determinantes ambientales. Estas asistencias se llevaron a cabo de manera presencial, organizando a los entes territoriales por la cercanía entre ellos y/o por cuenca. En estas jornadas también se contó con la participación de los consejos de ordenamiento territorial y miembros de concejos municipales.
En el desarrollo de las jornadas, se contó con la activa participación de los representantes de los municipios, quienes manifestaron el estado de los procesos de actualización y/o ajuste de sus instrumentos de planificación territorial, las dificultades que presentaron durante el proceso, así como sus inquietudes relacionadas con la inclusión del componente ambiental en los mismos.</t>
  </si>
  <si>
    <t>Oficina Asesora de Planeación</t>
  </si>
  <si>
    <t>Jefe Oficina Asesora de Planeación</t>
  </si>
  <si>
    <t>No cuenta con meta para la vigencia 2023</t>
  </si>
  <si>
    <t>Con las acciones apoyadas y ejecutadas propuestas en los PMEA de los CIDEA municipales, se da cumplimiento a la meta programada para la vigencia 2023 con la ejecución del contrato No.183 del 2023. cuyo objeto es: PRESTAR LOS SERVICIOS DE UN PROFESIONAL EN LA OFICINA ASESORA DE PLANEACION PARA LA ASESORÍA Y APOYO EN LOS PROCESOS DE EDUCACIÓN AMBIENTAL, ESPECIALMENTE EN LOS COMITÉS TÉCNICOS INTERINSTITUCIONALES DE EDUCACIÓN AMBIENTAL DEPARTAMENTAL Y MUNICIPALES.</t>
  </si>
  <si>
    <t xml:space="preserve">
Con el desarrollo de las acciones ejecutadas en el marco del convenio de asociación No. 0006 del 2023, cuyo objeto es: AUNAR ESFUERZOS PARA FORTALECER LA GESTIÓN AMBIENTAL MEDIANTE EL APOYO AL PROGRAMA DE EDUCACIÓN AMBIENTAL, DENTRO DE LA EDUCACIÓN FORMAL DEL DEPARTAMENTO DEL ATLÁNTICO Y EL APOYO AL CIDEA DEPARTAMENTAL, se da cumplimiento a la meta programada en la presente vigencia.
En el marco del Apoyo a las acciones realizadas por el CIDEA departamental para la construcción de la política departamental de Educación Ambiental, el CIDEA, asesorado por Minambiente, sostuvo reuniones técnicas en las que participaron, la Secretaría de Educación Departamental y la UniAtlántico, finalizando con la construcción de la Política Departamental de Educación Ambiental, la cual será presentada ante la Asamblea departamental del Atlántico en el mes de noviembre del 2023; una vez aprobada dicha política, la C.R.A., apoyará con la impresión de la publicación que apruebe el comité, relacionada con la gestión de la educación ambiental a nivel departamental. 
</t>
  </si>
  <si>
    <t>A través del convenio de asociación No. 0006 del 2023, cuyo objeto es: AUNAR ESFUERZOS PARA FORTALECER LA GESTIÓN AMBIENTAL MEDIANTE EL APOYO AL PROGRAMA DE EDUCACIÓN AMBIENTAL, DENTRO DE LA EDUCACIÓN FORMAL DEL DEPARTAMENTO DEL ATLÁNTICO Y EL APOYO AL CIDEA DEPARTAMENTAL, la Corporación Autónoma Regional del Atlántico dio cumplimiento al 100% de la meta de asistir técnicamente a 18 PRAE durante la presente vigencia. 
El proceso de selección de los PRAE se llevó a cabo de manera rigurosa y transparente, evaluando los programas presentados por las instituciones educativas oficiales en base a criterios predefinidos y de acuerdo con las actividades desarrolladas en cada una de ellas. 
Los PRAE apoyados corresponden a las instituciones educativas oficiales .</t>
  </si>
  <si>
    <t>En el marco del convenio de asociación No. 0006 del 2023, cuyo objeto es: AUNAR ESFUERZOS PARA FORTALECER LA GESTIÓN AMBIENTAL MEDIANTE EL APOYO AL PROGRAMA DE EDUCACIÓN AMBIENTAL, DENTRO DE LA EDUCACIÓN FORMAL DEL DEPARTAMENTO DEL ATLÁNTICO Y EL APOYO AL CIDEA DEPARTAMENTAL, la Corporación Autónoma Regional del Atlántico fortaleció dieciocho (18) Semilleros de Investigación, Grupos Ecológicos o Clubes de Ciencia y dinamizadores ambientales en los municipios del Departamento dando cumplimiento a la meta de la vigencia 2023.</t>
  </si>
  <si>
    <t xml:space="preserve">Para promover la dimensión ambiental, se estableció alianza con la Fundacion Alianza Tecnologica y Desarrollo Educativo - ALITIC a través del convenio de asociación No. 0006 del 2023, que tiene por objeto: “AUNAR ESFUERZOS PARA FORTALECER LA GESTIÓN AMBIENTAL MEDIANTE EL APOYO AL PROGRAMA DE EDUCACIÓN AMBIENTAL, DENTRO DE LA EDUCACIÓN FORMAL DEL DEPARTAMENTO DEL ATLÁNTICO Y EL APOYO AL CIDEA DEPARTAMENTAL”, dando cumplimiento al 100% de la meta programada.
En el marco del convenio, la C.R.A viene desarrollando actividades para llevar a cabo el diplomado, “Resignificación de los Proyectos Ambientales Escolares", elaborado por la
Subdirección de Educación y Participación del MINAMBIENTE, el cual se desarrolla por la necesidad de continuar fortalecimiento nuestro compromiso y promover la sostenibilidad y la educación ambiental en las instituciones educativas.
</t>
  </si>
  <si>
    <t xml:space="preserve">
Con el apoyo de ocho (8) Proyectos Ciudadanos de Educación Ambiental en el Departamento del Atlántico, en el marco del convenio No. 007 del 2023 cuyo objeto es: “DESARROLLO CONJUNTO DE ESTRATEGIAS PARA PROMOVER LA TRANSFORMACIÓN CULTURAL Y LA PARTICIPACIÓN CIUDADANA EN EL DEPARTAMENTO DEL ATLÁNTICO, A TRAVÉS DE LA DIFUSIÓN DE CONOCIMIENTOS AMBIENTALES EN LA POBLACIÓN Y EL FORTALECIMIENTO DEL TEMA AMBIENTAL EN LOS PROCESOS DE EDUCACIÓN NO FORMAL” se dio cumplimiento a la meta programada para la vigencia 2023.
Los PROCEDA apoyados en la vigencia corresponden a los municipios relacionados a continuación:
 Municipio de Manatí
 Municipio de Santa Lucía
 Municipio de Campo de la Cruz
 Municipio de Malambo
 Municipio de Galapa
 Municipio de Piojó
 Municipio de Puerto Colombia
 Municipio de Sabanagrande
</t>
  </si>
  <si>
    <t>Con el apoyo de los Contratos de Prestación de Servicios Profesionales No. 0138 de 2023, cuyo objeto es “PRESTAR LOS SERVICIOS PROFESIONALES COMO INGENIERO AMBIENTAL EN LA OFICINA ASESORA DE PLANEACIÓN, EN TEMAS DE EDUCACIÓN AMBIENTAL PARA GENERAR ESPACIOS DE PARTICIPACIÓN PARA EL FORTALECIMIENTO DE LA CULTURA AMBIENTAL CIUDADANA” y No.183 del 2022 cuyo objeto es: “PRESTAR LOS SERVICIOS DE UN PROFESIONAL EN LA OFICINA ASESORA DE PLANEACION PARA LA ASESORIA Y APOYO EN LOS PROCESOS DE EDUCACIÓN AMBIENTAL, ESPECIALMENTE EN LOS COMITÉS TÉCNICOS INTERINSTITUCIONALES DE EDUCACIÓN AMBIENTAL DEPARTAMENTAL Y MUNICIPALES”, se ha dado cumplimiento al 100% de la meta.
Por otra parte, en el marco del convenio No. 005 del 2023 cuyo objeto es: “AUNAR ESFUERZOS PARA DESARROLLAR ACCIONES QUE PROMUEVAN LA CONSERVACIÓN DE LOS RECURSOS NATURALES EN EL DEPARTAMENTO DEL ATLÁNTICO, A TRAVÉS DE LA IDENTIFICACIÓN, CONSOLIDACIÓN Y FORTALECIMIENTO DE NEGOCIOS VERDES COMO ENFOQUE A LA ACTIVACIÓN DE LA ECONOMÍA LOCAL CIRCULAR, LA AUTOGESTIÓN AMBIENTAL Y EL DESARROLLO DE PRÁCTICAS LIMPIAS PARA EL MEJORAMIENTO DEL SECTOR PRODUCTIVO”, celebrado con la Corporación Universitaria Americana, la C.R.A., viene desarrollando un programa de educación ambiental en los municipios de Puerto Colombia y Juan de Acosta, con la participación de sesenta (60) Personas, 30 miembros por cada municipio.</t>
  </si>
  <si>
    <t>La Corporación Autónoma Regional del Atlántico – C.R.A, a través de la Escuela de Liderazgo Regional Ambiental, en alianza con la Corporación Univesidad Reformada – CUR, en el marco del convenio de asociación No.004 del 2023 cuyo objeto es: “AUNAR ESFUERZOS PARA EL DESARROLLO CONJUNTO DE UN PROGRAMA DE FORMACIÓN CIUDADANA, A TRAVÉS DE ACTORES COMUNITARIOS A DOTAR CON CAPACIDAD TÉCNICA PARA ORIENTAR LOS PROCESOS PARTICIPATIVOS EN TERRITORIOS”, desarrolló procesos de capacitación teórico prácticos con jóvenes miembros de ONG para el seguimiento y evaluación de los ODS”, a través de los cuales se implementaron 4 proyectos educativos ambientales implementados, dando cumplimiento al 100% de la meta correspondiente a la vigencia 2023. 
El programa formativo estuvo dirigido a 30 miembros de ONG para el seguimiento y evaluación de los ODS</t>
  </si>
  <si>
    <t xml:space="preserve">Con la realización de la feria ambiental en la que participaron ONG ambientalistas del departamento del Atlántico se dio cumplimiento al 100% de la meta. 
Las actividades desarrolladas se realizaron en el marco del convenio de asociación No.004 del 2023 cuyo objeto es: “AUNAR ESFUERZOS PARA EL DESARROLLO CONJUNTO DE UN PROGRAMA DE FORMACIÓN CIUDADANA, A TRAVÉS DE ACTORES COMUNITARIOS A DOTAR CON CAPACIDAD TÉCNICA PARA ORIENTAR LOS PROCESOS PARTICIPATIVOS EN TERRITORIOS”.
</t>
  </si>
  <si>
    <t xml:space="preserve">En el marco del convenio de asociación No. 0010 del 2023 que tiene por Objeto “DESARROLLO CONJUNTO DE UN PROGRAMA DE CAPACITACIÓN DIRIGIDO A ORGANIZACIONES COMUNITARIAS PARA APOYAR LA GESTIÓN AMBIENTAL EN LA CONSERVACIÓN DE ECOSISTEMAS, GESTIÓN DEL RIESGO, ECOTURISMO Y SEGURIDAD ALIMENTARIA EN LOS MUNICIPIOS DE LURUACO, SABANALARGA Y PIOJÓ” se implementó un (1) proyecto productivo para la sostenibilidad alimentaria de las comunidades de pescadores y agricultores del municipio de Sabanalarga, cumpliendo de esta manera con el 100% de la meta programada.
Para lograr el cumplimiento de la meta, se desarrolló un programa de capacitación, a través de seis (6) talleres teórico-prácticos, con una intensidad de 24 horas presenciales y 24 horas prácticas. </t>
  </si>
  <si>
    <t xml:space="preserve">Con la ejecución de actividades desarrolladas en el marco  del convenio  No. 007 del 2023 suscrito con la Fundacion Alianza Tecnologica y Desarrollo Educativo - ALITIC  cuyo objeto es: “DESARROLLO CONJUNTO DE ESTRATEGIAS PARA PROMOVER LA TRANSFORMACIÓN CULTURAL Y LA PARTICIPACIÓN CIUDADANA EN EL DEPARTAMENTO DEL ATLÁNTICO, A TRAVÉS DE LA DIFUSIÓN DE CONOCIMIENTOS AMBIENTALES EN LA POBLACIÓN Y EL FORTALECIMIENTO DEL TEMA AMBIENTAL EN LOS PROCESOS DE EDUCACIÓN NO FORMAL” la meta tiene un cumplimiento del 100% de acuerdo con lo programado en la presente vigencia.
 A través del convenio se lleva a cabo el Concurso de videoclips ambientales para redes, orientados a presentar las acciones de adaptación y/o mitigación al Cambio Climático, o a la Gestión Integral de Residuos Sólidos -GIRS en el Atlántico.
</t>
  </si>
  <si>
    <t xml:space="preserve">En el marco del convenio No. 007 del 2023 celebrado con la Fundacion Alianza Tecnologica y Desarrollo Educativo - ALITIC  cuyo objeto es: “DESARROLLO CONJUNTO DE ESTRATEGIAS PARA PROMOVER LA TRANSFORMACIÓN CULTURAL Y LA PARTICIPACIÓN CIUDADANA EN EL DEPARTAMENTO DEL ATLÁNTICO, A TRAVÉS DE LA DIFUSIÓN DE CONOCIMIENTOS AMBIENTALES EN LA POBLACIÓN Y EL FORTALECIMIENTO DEL TEMA AMBIENTAL EN LOS PROCESOS DE EDUCACIÓN NO FORMAL” se dio cumplimiento al 100% de la meta programada para la presente vigencia.
En el desarrollo de las actividades del convenio, se realizó un concurso de fotografía digital y video de tipo ambiental, abierto, denominado Atlántico Respira Ambiente versión 2023. El concurso invita a visibilizar los entornos que evidencian las relaciones que se dan entre los elementos de los ecosistemas en el departamento del Atlántico, incluyendo los seres humanos, a través de la fotografía digital paisajística y ambiental. Estas fotografías pueden incluir visiones tanto positivas como críticas de la vida natural en el departamento del Atlántico. Cabe el testimonio gráfico, pero también cabe la imagen poética de la región. Queremos mostrar a través de los ojos artísticos de los participantes el presente y futuro ambiental que sirve de sostén y entornos de las familias nativas que viven en el Atlántico.
</t>
  </si>
  <si>
    <t xml:space="preserve">La implementación del proyecto virtual de educación ambiental se logró a través de la ejecución del convenio No. 007 del 2023 cuyo objeto es: “DESARROLLO CONJUNTO DE ESTRATEGIAS PARA PROMOVER LA TRANSFORMACIÓN CULTURAL Y LA PARTICIPACIÓN CIUDADANA EN EL DEPARTAMENTO DEL ATLÁNTICO, A TRAVÉS DE LA DIFUSIÓN DE CONOCIMIENTOS AMBIENTALES EN LA POBLACIÓN Y EL FORTALECIMIENTO DEL TEMA AMBIENTAL EN LOS PROCESOS DE EDUCACIÓN NO FORMAL”, celebrado con la Fundacion Alianza Tecnologica y Desarrollo Educativo – ALITIC, cumpliendo con el 100% de la meta programada para la vigencia.
En el marco del convenio se desarrolló el Primer Seminario de Fotografía Ambiental en la ciudad de Barranquilla. 
</t>
  </si>
  <si>
    <t xml:space="preserve">Con la ejecución del convenio No. 009 del 2023, cuyo objeto es: “AUNAR ESFUERZOS TÉCNICOS, ADMINISTRATIVOS, Y FINANCIEROS PARA DAR CONTINUIDAD AL DESARROLLO DE UN PROGRAMA DE FORTALECIMIENTO DE LA GESTIÓN AMBIENTAL SOSTENIBLE DE LOS RECURSOS NATURALES Y SECTORIALES, QUE CONTRIBUYA A LA CONSERVACIÓN DE LA BIODIVERSIDAD Y RIQUEZA DE LOS ECOSISTEMAS TERRESTRES Y MARINO COSTEROS DEL DEPARTAMENTO DEL ATLÁNTICO”, la C.R.A. se encuentra desarrollando actividades que permitirán dar cumplimiento a la meta durante la presente vigencia.
Para lograr dicho cumplimiento, en el marco del convenio señalado se organiza el primer encuentro departamental de grupos y/o semilleros ecológicos. </t>
  </si>
  <si>
    <t>La C.R.A., apoyó el lanzamiento del Observatorio Mesoamericano de Educación Ambiental, celebrado los días 16, 17 y 18 de agosto de 2023 en el municipio de Puerto Colombia. En el evento, la entidad tuvo participación en la ponencia: Política de Educación Ambiental del departamento del Atlántico: Educación Ambiental para la Sustentabilidad de la Vida 2023-2033, la cual estuvo en cabeza de la Profesional Especializada Gloria Farah, funcionaria del proceso de Educación Ambiental de la Corporación.</t>
  </si>
  <si>
    <t xml:space="preserve">
Para dar cumplimiento total a la meta programada se celebró el convenio de asociación No. 0014 del 2023 cuyo objeto es: FORTALECIMIENTO DEL ETNOPLAN DE LOS CONSEJOS COMUNITARIOS AFRO DEL DEPARTAMENTO DEL ATLANTICO, MEDIANTE UNA LINEA TRANSVERSAL CON ENFOQUE ETNICOAMBIENTAL PARA LA CONSERVACION Y SALVAGUARDA DE SABERES Y PRÁCTICAS TRADICIONALES.</t>
  </si>
  <si>
    <t xml:space="preserve">
A través del convenio de asociación No. 0016 del 2023 cuyo objeto es: FORTALECIMIENTO DE LOS CONOCIMIENTOS, COSTUMBRES, SABERES Y PRÁCTICAS TRADICIONALES AMBIENTALES DE LAS COMUNIDADES INDÍGENAS Y RROM DEL DEPARTAMENTO DEL ATLÁNTICO, ASÍ COMO DE INICIATIVAS CON UN ENFOQUE DIFERENCIAL DE GÉNERO DE LAS MUJERES DENTRO DE SU COMUNIDAD ÉTNICA, se vienen desarrollando acciones que permitirán lograr el cumplimiento de la meta antes de finalizar la vigencia 2023.
</t>
  </si>
  <si>
    <t xml:space="preserve">A través del convenio de asociación No. 0016 del 2023 cuyo objeto es: FORTALECIMIENTO DE LOS CONOCIMIENTOS, COSTUMBRES, SABERES Y PRÁCTICAS TRADICIONALES AMBIENTALES DE LAS COMUNIDADES INDÍGENAS Y RROM DEL DEPARTAMENTO DEL ATLÁNTICO, ASÍ COMO DE INICIATIVAS CON UN ENFOQUE DIFERENCIAL DE GÉNERO DE LAS MUJERES DENTRO DE SU COMUNIDAD ÉTNICA, se implementan acciones que permitirán lograr el cumplimiento de la meta antes de finalizar la vigencia 2023.
En el marco del convenio mencionado se está desarrollando una capacitación dirigida a mujeres de las parcialidades indígenas de Galapa, Puerto Colombia, Malambo, Pital de Megua, Sibarco, Tubará, Baranoa y Rrom de Sabanalarga.; en técnicas ancestrales de la cultura indígena, que busque apoyar los emprendimientos de mujeres indígenas y Rrom en pro de la reactivación económica, el fortalecimiento identitario y la conservación de saberes tradicionales (total de 15 horas) en cinco (5) talleres de 3 horas cada uno.
</t>
  </si>
  <si>
    <t xml:space="preserve">A través del convenio de asociación No. 0015 del 2023 cuyo objeto es: DESARROLLO DE PROGRAMA DE FORTALECIMIENTO DE NIÑOS, NIÑAS Y ADOLESCENTES DE LOS MUNICIPIOS DEL DEPARTAMENTO DEL ATLANTICO, COMO “PEQUEÑOS GUARDIANES ETNO – AMBIENTALES”, EN EL MARCO DE LA IDENTIDAD CULTURAL AFROCOLOMBIANA, se vienen desarrollando acciones que permitirán lograr el cumplimiento de la meta antes de finalizar la vigencia 2023.
En el marco del convenio mencionado se ejecutan las siguientes acciones:
 Se seleccionaron seis (6) instituciones educativas oficiales de los Municipios de: Soledad, Manatí, Luruaco, Polonuevo, Repelón y Puerto Colombia para la implementación del programa que permitirá la conformación de “PEQUEÑOS GUARDIANES ETNO – AMBIENTALES”, EN EL MARCO DE LA IDENTIDAD CULTURAL AFROCOLOMBIANA. Es decir, Una (1) institución educativa por cada municipio participante.
 Desarrollo del proceso de capacitación, dirigido a 150 niños, niñas y adolescentes pertenecientes a las comunidades negras, afrocolombianas y palenqueras de los Municipios de Soledad, Manatí, Luruaco, Polonuevo, Repelón y Puerto Colombia en el Departamento del Atlántico; se debe realizar un taller de 12 horas de duración, dividido en 3 sesiones de 4 horas con cada uno, en los 6 municipios anteriormente mencionados, para un total de 18 sesiones. (Incluye papelería, alimentación y/o refrigerios e hidratación).
 La creación de una Red de Guardianes Etno-ambientales en los Municipios de Soledad, Manatí, Luruaco, Polonuevo, Repelón y Puerto Colombia, la cual estará conformada por 180 niños, niñas y adolescentes de los seis (6) municipios participantes.
</t>
  </si>
  <si>
    <t>3.4.1.1.(B) Preparar, organizar y operativizar 70 Guardianes del Medio Ambiente GUMA, para apoyar acciones prácticas  de la gestión ambiental de la corporación.</t>
  </si>
  <si>
    <t xml:space="preserve">En el marco del convenio de asociación No.004 del 2023 cuyo objeto es: “AUNAR ESFUERZOS PARA EL DESARROLLO CONJUNTO DE UN PROGRAMA DE FORMACIÓN CIUDADANA, A TRAVÉS DE ACTORES COMUNITARIOS A DOTAR CON CAPACIDAD TÉCNICA PARA ORIENTAR LOS PROCESOS PARTICIPATIVOS EN TERRITORIOS”,  en alianza con la Corporación Univesidad Reformada – CUR, a través de la Escuela de Liderazgo Regional Ambiental, la C.R.A., se ejecutaron procesos de capacitación teórico prácticos que permiten mantener organizados y actualizados, los conocimientos de los guardianes ambientales – GUMA, organizados en vigencias anteriores dando cumplimiento al 100% de la meta programada. 
En el marco del convenio señalado, se desarrollaron talleres teórico-prácticos, cuyo propósito es mantener en operatividad a los GUMA, para fortalecer acciones prácticas de la gestión ambiental de la Corporación.
</t>
  </si>
  <si>
    <t xml:space="preserve">El documento de formulación del POMCA se encuentra en edición, así mismo se encuentran adelantándose las gestiones para la publicación en el Diario Oficial del Aviso que informa a la comunidad la culminación del proceso de formulación del instrumento, por lo que se espera adoptar finalizando la vigencia 2023. </t>
  </si>
  <si>
    <t>Para la vigencia 2023 se realizaron 47 seguimientos a los municipios con PSMV aprobado e inclusive al saneamiento básico de los municipios sin PSMV aprobado. Además, se desarrollaron mesas de trabajo en conjunto con la Procuraduría Regional Atlántico y entes territoriales para avanzar en los procesos de evaluación ambiental de los PSMV que fueron presentados por los municipios para aprobación.</t>
  </si>
  <si>
    <t>No tiene meta programada para la presente vigencia 2023</t>
  </si>
  <si>
    <t>Hicotea
Titi Cabeciblanco</t>
  </si>
  <si>
    <t>Cedro (Cedrela odorata)</t>
  </si>
  <si>
    <t>Taruya
Neem</t>
  </si>
  <si>
    <t>Número total de Programas de Uso Eficiente y Ahorro del Agua (PUEAA) aprobados por la Corporación a 31/12/2023:</t>
  </si>
  <si>
    <t>Bleydy Coll Peña</t>
  </si>
  <si>
    <t>bcoll@crautonoma.gov.co
sdga@crautonoma.gov.co</t>
  </si>
  <si>
    <t>TP.E. Tiempo efectivo de duración del trámite de otorgamiento de aprovechamiento forestal (número de días)</t>
  </si>
  <si>
    <t>3686626 ext 112</t>
  </si>
  <si>
    <t>Número total de licencias ambientales vigentes y aprobadas por la Corporación a 31/12/2023:</t>
  </si>
  <si>
    <t>Número de usuarios de agua a 31/12/2023</t>
  </si>
  <si>
    <t>Número de concesiones de agua otorgadas a 31/12/2023</t>
  </si>
  <si>
    <t>Número de captaciones de agua otorgadas a 31/12/2023</t>
  </si>
  <si>
    <t>Número de usuarios de permisos de aprovechamiento forestal a 31/12/2023</t>
  </si>
  <si>
    <t>Número de permisos de aprovechamiento forestal vigentes a 31/12/2023</t>
  </si>
  <si>
    <t>Número de usuarios de permisos de emisiones atmosféricas a 31/12/2023</t>
  </si>
  <si>
    <t>Bleydy Coll Pena</t>
  </si>
  <si>
    <t>Bleydy Coll</t>
  </si>
  <si>
    <t>Subdirectora</t>
  </si>
  <si>
    <t>SUBDIRECTORA</t>
  </si>
  <si>
    <t>Jefe de Oficina Asesora</t>
  </si>
  <si>
    <t>Oficina Asesorta de Planeación</t>
  </si>
  <si>
    <t>Sundirectora</t>
  </si>
  <si>
    <t>OFICINA ASESORA DE PLANEACIÓN</t>
  </si>
  <si>
    <t>JEFE OFICINA ASESORA</t>
  </si>
  <si>
    <t>BLEYDY COLL PEÑA</t>
  </si>
  <si>
    <t>Jefe Oficina Asesora</t>
  </si>
  <si>
    <t>COMPORTAMIENTO META FISICA 
PLAN DE ACCION</t>
  </si>
  <si>
    <t>COMPORTAMIENTO META FINANCIERA</t>
  </si>
  <si>
    <t>(1) ESTRUCTURA PLAN DE ACCIÓN INSTITUCIONAL 2020 -2023</t>
  </si>
  <si>
    <t>(2) INDICADOR</t>
  </si>
  <si>
    <t xml:space="preserve">   (2) UNIDAD DE MEDIDA</t>
  </si>
  <si>
    <t>(3)META FISICA ANUAL
 (Según unidad de medida)</t>
  </si>
  <si>
    <t>(4)
AVANCE DE LA META
FISICA  
(Según unidad de medida y Periodo Evaluado)</t>
  </si>
  <si>
    <t>(5)
AVANCE DEL REZAGO DE LA META
FISICA 
(Según unidad de medida y Periodo Evaluado)</t>
  </si>
  <si>
    <t xml:space="preserve">(6)
PORCENTAJE DE AVANCE 
FISICO %
(Periodo Evaluado)
((4/3)*100)
</t>
  </si>
  <si>
    <t>(7) DESCRIPCIÓN DEL AVANCE 
(Se puede describir en texto lo que se desea aclarar del avance númerico respectivo)</t>
  </si>
  <si>
    <t xml:space="preserve">(8) FECHA DE EJECUCION DE  LA EVIDENCIA </t>
  </si>
  <si>
    <t xml:space="preserve">(9) TIPO DE EVIDENCIA </t>
  </si>
  <si>
    <t>(9-A) ACCIONES DE FUNCIONAMIENTO</t>
  </si>
  <si>
    <t>(9-B) ESTADO CONTRATO</t>
  </si>
  <si>
    <t>(9-B.1) N° CONTRATO</t>
  </si>
  <si>
    <t xml:space="preserve"> (10) META FISICA DEL PAC (Según unidad de medida)</t>
  </si>
  <si>
    <t>(11) AVANCE ACUMULADO DE LA META FISICA (Según unidad de medida)</t>
  </si>
  <si>
    <t>(12) PORCENTAJE DE AVANCE FISICO ACUMULADO % 
((11/10)*100)</t>
  </si>
  <si>
    <t>(13)               PONDERACIONES  PAC 2020 -2023</t>
  </si>
  <si>
    <t>(14) PONDERACIÓN ANUAL DE PROGRAMAS  Y PROYECTOS VIGENCIA OBJETO DE REPORTE</t>
  </si>
  <si>
    <t>(15) META FINANCIERA ANUAL  ($)</t>
  </si>
  <si>
    <t>(16) AVANCE DE LOS RECURSOS COMPROMETIDOS (Recursos comprometidos periodo Evaluado) ($)</t>
  </si>
  <si>
    <t>(17)  PORCENTAJE DEL AVANCE DE COMPROMISOS % (Periodo Evaluado) 
((16/15)*100)</t>
  </si>
  <si>
    <t>(18) AVANCE DE LOS RECURSOS OBLIGADOS $</t>
  </si>
  <si>
    <t>(19) PORCENTAJE DE AVANCE DE LOS RECURSOS OBLIGADOS  (AVANCE FINANCIERO) ((18/15)*100)</t>
  </si>
  <si>
    <t>(20) RESERVA PRESUPUESTAL 2023 $
(16-18)</t>
  </si>
  <si>
    <t>(21) RESERVA PRESUPUESTAL DEL 2020
$</t>
  </si>
  <si>
    <t>(21-A) OBLIGACIONES DE LA RESERVA 2020
 $</t>
  </si>
  <si>
    <t>(22) RESERVA PRESUPUESTAL DEL 2021
$</t>
  </si>
  <si>
    <t>(22-A) OBLIGACIONES DE LA RESERVA 2021
 $</t>
  </si>
  <si>
    <t>(23) RESERVA PRESUPUESTAL DEL 2022
$</t>
  </si>
  <si>
    <t>(23-A) OBLIGACIONES DE LA RESERVA 2022
 $</t>
  </si>
  <si>
    <t>(23-B) PORCENTAJE DE AVANCE EJECUCIÓN DE LA RESERVA 2022 $
(23-A/23)</t>
  </si>
  <si>
    <t>(24)                                         META FINANCIERA   DEL PLAN             ($)</t>
  </si>
  <si>
    <t xml:space="preserve">(25) AVANCE 
ACUMULADO DE LREC. COMPROMETIDOS $
</t>
  </si>
  <si>
    <t xml:space="preserve">(26)
PORCENTAJE DE  AVANCE RECURSOS COMPROMETIDOS %
((25/24
</t>
  </si>
  <si>
    <t>(27) AVANCE 
ACUMULADO DE LA EJECUCIÓN DE META
FINANCIERA (REC. OBLIGADOS) $</t>
  </si>
  <si>
    <t xml:space="preserve">(28)
PORCENTAJE DE  AVANCE FINANCIERO ACUMULADO %
((27/24)*100)
</t>
  </si>
  <si>
    <t>(29)
OBSERVACIONES</t>
  </si>
  <si>
    <t>(30)
PROGRAMA DE INVERSIÓN PUBLICA A LA QUE APORTA</t>
  </si>
  <si>
    <t>(31)
IMG AL QUE  APORTA</t>
  </si>
  <si>
    <t>(32)
INDICADOR ODS AL QUE LE APORTA</t>
  </si>
  <si>
    <t>2020-2023</t>
  </si>
  <si>
    <t>LÍNEA ESTRATÉGICA No. 1. SOSTENIBILIDAD DEL RECURSO HÍDRICO</t>
  </si>
  <si>
    <t>x</t>
  </si>
  <si>
    <t>PROGRAMA No 1.1. PLANIFICACIÓN, ADMINISTRACIÓN Y GESTIÓN DEL RECURSO HÍDRICO PARA LA PROTECCIÓN DE LOS ECOSISTEMAS</t>
  </si>
  <si>
    <t>PROYECTO No 1.1.1. REGULACIÓN Y REGLAMENTACIÓN DEL RECURSO HÍDRICO</t>
  </si>
  <si>
    <t>1.1.1.1. Iniciar el proceso de formulación del Plan de Ordenación y Manejo de Cuencas Hidrográfica de la cuenca de Mar Caribe.</t>
  </si>
  <si>
    <t>Número de documentos que consolide las acciones realizadas en marco de la ordenación de la cuenca del Mar Caribe</t>
  </si>
  <si>
    <t>Número</t>
  </si>
  <si>
    <t>35~Grado de aplicación de la ordenación integrada de los recursos hídricos (0-100)</t>
  </si>
  <si>
    <t>1.1.1.2. Adoptar los Planes de Ordenación y Manejo de: Cuencas Hidrográficas del Canal del Dique, Cuenca del complejo de humedades del Rio Magdalena y Cuenca de los Arroyos directos al Mar Caribe.</t>
  </si>
  <si>
    <t>Número de POMCAS Adoptados bajo el Marco Normativo del 1076 del 2015</t>
  </si>
  <si>
    <t>1.1.1.3. Implementar el Plan de Ordenación y Manejo de Cuencas Hidrográficas de la Ciénaga de Mallorquín y los Arroyos Grande y León.</t>
  </si>
  <si>
    <t>Porcentaje de avance en la implementación del POMCA Mallorquín Adoptado bajo el marco Normativo del 1076 del 2015</t>
  </si>
  <si>
    <t xml:space="preserve">En la presente vigencia, la Corporación Autónoma Regional del Atlántico – C.R.A viene desarrollando acciones para dar cumplimiento a la meta, en el marco del contrato de obra No. 267 de 2023, cuyo objeto es: “MANTENIMIENTO Y OPERACIÓN DEL SISTEMA INTEGRAL DE CAPTACIÓN, TRATAMIENTO CON BIOTECNOLOGÍA Y REÚSO DE LAS AGUAS DEL ARROYO LEÓN PARA GARANTIZAR LA SOSTENIBILIDAD HÍDRICA Y AMBIENTAL DE LA CIÉNAGA DEL RINCÓN "LAGO DEL CISNE" EN EL DEPARTAMENTO DEL ATLÁNTICO". </t>
  </si>
  <si>
    <t>contract</t>
  </si>
  <si>
    <t>En ejecución</t>
  </si>
  <si>
    <t>1.1.1.4. Implementar el Plan de Ordenación y Manejo de Cuencas Hidrográficas del Complejo de Humedades del Río Magdalena.</t>
  </si>
  <si>
    <t>Porcentaje de seguimiento al POMCA del rio Magdalena adoptado bajo el marco normativo del 2076 de 2015</t>
  </si>
  <si>
    <t xml:space="preserve">Es preciso mencionar que se ha avanzado en el proceso de adopción del POMCA Río Magdalena, de tal forma que durante el primer semestre se logró la concertación del documento de formulación del instrumento, con el Consejo de Cuenca en reunión celebrada el día 12 de abril de 2023. 
A la fecha del presente informe, el documento de formulación del POMCA se encuentra en edición, así mismo se encuentran adelantándose las gestiones para la publicación en el Diario Oficial del Aviso que informa a la comunidad la culminación del proceso de formulación del instrumento, por lo que se espera adoptar finalizando la vigencia 2023. </t>
  </si>
  <si>
    <t>$ 0</t>
  </si>
  <si>
    <t>1.1.1.5. Implementar el Plan de Ordenación y Manejo de Cuencas Hidrográficas del Canal del Dique</t>
  </si>
  <si>
    <t>Porcentaje de seguimiento al POMCA del Canal del Dique adoptado bajo el marco normativo del 2076 de 2015</t>
  </si>
  <si>
    <t xml:space="preserve">Esta Corporación adelantó reunión el día 31 de marzo de 2023, en las instalaciones de la C.R.A., con el Fondo de Adaptación para conocer avances en la ejecución del Convenio 012 del 2014, suscrito para adelantar el proceso de formulación y adopción de los ajustes al POMCA CANAL DE DIQUE.  
En lo corrido del segundo semestre del año 2023, se ha dificultado avanzar en el proceso de adopción ya que no ha sido posible concertar reuniones con las comunidades pendientes de consulta previa pese a que se han intentado los acercamientos. 
</t>
  </si>
  <si>
    <t>1.1.1.6. Formular el Plan de Manejo de la Ciénaga de Mallorquín (delimitación y zonificación del humedal a escala 1:25.000), el cual hace parte de sitio RAMSAR Sistema Delta Estuario Ciénaga Grande de Santa Marta.</t>
  </si>
  <si>
    <t>Número de documentos con el Plan de Manejo de humedales formulado.</t>
  </si>
  <si>
    <t>1.1.1.7. Formular el Plan de Manejo de Acuífero de Sabanalarga - Tubará de acuerdo a la priorización definida en los criterios del Decreto 1640 de 2012.</t>
  </si>
  <si>
    <t>Documento que contenga las fases de aprestamiento y diagnóstico del PMMA del sistema de acuíferos de Sabanalarga – Tubara en el departamento del Atlántico.</t>
  </si>
  <si>
    <t xml:space="preserve">Para dar cumplimiento a la meta programada en la vigencia se encuentra en ejecución el contrato No. 0296 del 2023, cuyo objeto es: “ELABORAR LAS FASES DE APRESTAMIENTO Y DIAGNÓSTICO DEL PLAN DE MANEJO AMBIENTAL DE ACUÍFEROS (PMAA) DEL SISTEMA DE ACUÍFEROS DE SABANALARGA - TUBARÁ EN EL DEPARTAMENTO DEL ATLÁNTICO DE ACUERDO CON LA PRIORIZACIÓN DEFINIDA EN LOS CRITERIOS DEL DECRETO 1640 DE 2012, EN CUMPLIMIENTO DE LO ESTABLECIDO EN EL PLAN DE ACCIÓN INSTITUCIONAL 2020 – 2023”. </t>
  </si>
  <si>
    <t>1.1.1.11. Elaborar Planes de Ordenamiento del Recurso Hídrico en las Ciénagas Priorizadas del Departamento (Sabanagrande, Santo Tomas, Palmar de Varela, Canal del Dique y Malambo).</t>
  </si>
  <si>
    <t>Número de Documentos técnicos que contenga Planes de ordenamiento del recurso hídrico formulados</t>
  </si>
  <si>
    <t xml:space="preserve">Es necesario aclarar que, si bien la Ciénaga Bahía no se encuentra priorizada dentro del PAI para hacer su PORH, se evidenció al momento de formular el PORH de la Ciénaga de Malambo que, las ciénagas de Bahía, Malambo y Convento conformaban un solo complejo cenagoso, porque solo ordenar el recurso hídrico en la ciénaga de Malambo no era suficiente para lograr la conservación del ecosistema asociado a éste, por lo que se debía extender la ordenación a las ciénagas de Bahía y Convento.   
La meta se cumple con la ejecución del Contrato No. 257 del 2023.  A la fecha se ha llevado a cabo el primer taller con los actores presentes en la zona de estudio.  Se entregó el diagnóstico y se realizaron los monitoreos de calidad de agua, levantamiento topográfico y batimétrico de la ciénaga Bahía. </t>
  </si>
  <si>
    <t>1.1.1.8. Actualizar el índice del Uso de Agua para el Departamento del Atlántico, ya que éste fue construido en el año 2013.</t>
  </si>
  <si>
    <t>Número de Documentos técnicos que contenga la actualización del índice de uso de agua</t>
  </si>
  <si>
    <t>Para la formulación del documento técnico que contenga la actualización del Indice de uso de Agua, la C.R.A suscribió el Convenio No. 002  de 2023 con Stiftelsen the Stockholm Environment Institute (SEI) cuyo Objeto es AUNAR ESFUERZOS PARA LA IMPLEMENTACIÓN DE LA EVALUACIÓN REGIONAL DEL AGUA –ERA- A TRAVÉS DE LA ACTUALIZACIÓN DEL ÍNDICE DEL USO DE AGUA PARA EL DEPARTAMENTO DEL ATLÁNTICO, POR MEDIO DE LA IMPLEMENTACIÓN DE LA METODOLOGÍA WEAP.</t>
  </si>
  <si>
    <t>convenio 002</t>
  </si>
  <si>
    <t>64~Nivel de estrés hídrico: extracción de agua dulce como proporción de los recursos de agua dulce disponibles</t>
  </si>
  <si>
    <t>1.1.1.9. Elaborar una Resolución de Priorización de los cuerpos de agua que requieren ser acotados en el departamento.</t>
  </si>
  <si>
    <t>Número de Documentos técnicos que contenga la priorización de cuerpos de agua que van hacer acotada su ronda</t>
  </si>
  <si>
    <t>1.1.1.10. Realizar estudios de Rondas Hídricas de los cuerpos de agua priorizados en el departamento (Malambo y Bahía).</t>
  </si>
  <si>
    <t>Número de documentos técnicos con los acotamiento de ronda hídrica definidas.</t>
  </si>
  <si>
    <t xml:space="preserve">Para el cumplimiento de la meta, la C.R.A  suscribió el Contrato No. 257 de 2023 cuyo Objeto es “FORMULAR EL PLAN DE ORDENAMIENTO DEL RECURSO HÍDRICO Y EL ACOTAMIENTO DE LA RONDA HIDRICA PARA LA CIENAGA LA BAHÍA EN EL DEPARTAMENTO DEL ATLÁNTICO”. </t>
  </si>
  <si>
    <t>1.1.1.12. Implementar los Planes de Ordenamiento del Recurso Hídrico que se encuentra elaborados en el departamento (Embalse del Guájaro, la ciénaga de Luruaco y la ciénaga de Mallorquín).</t>
  </si>
  <si>
    <t>Número de Planes de ordenamiento del recurso Hídrico Implementados</t>
  </si>
  <si>
    <t>Para dar cumplimiento a la meta, la C.R.A. suscribió el Convenio No. 008 de 2023 con el Instituto de Investigaciones Marinas y Costeras INVEMAR, cuyo objeto es “AUNAR ESFUERZOS TECNICOS , ADMINISTRATIVOS Y FINANCIEROS PARA REALIZAR EL MONITOREO DE LAS AGUAS MARINAS Y COSTERAS EN EL MARCO DE LA REDCAM, DIAGNOSTICO DEL ECOSISTEMA DE PASTOS MARINOS EN PUERTO VELERO, Y SEGUIMIENTO A LA EROSIÓN COSTERA EN LA CIENAGA DE MALLORQUÍN”, al cual se le dio inicio el 28 de junio de 2023.
Dentro de las obligaciones del convenio a cargo del INVEMAR está la realización del seguimiento a los cambios de la línea de costa y dinámica geomorfológica en la ciénaga de Mallorquín.</t>
  </si>
  <si>
    <t>convenio 008</t>
  </si>
  <si>
    <t>PROYECTO No 1.1.2. FORTALECIMIENTO DE LA GESTIÓN INSTITUCIONAL Y SOCIAL PARA LA PLANIFICACIÓN, ADMINISTRACIÓN Y  GESTIÓN DEL RECURSO HÍDRICO</t>
  </si>
  <si>
    <t>1.1.2.1. Conformar un Equipo de Trabajo fortalecido con herramientas e insumos necesarios para llevar a cabo la Planificación, Administración y Gestión del recurso hídrico.</t>
  </si>
  <si>
    <t>Número de equipo Conformado anualmente</t>
  </si>
  <si>
    <t>La Corporación Autónoma Regional del Atlántico conformó un equipo multidisciplinario que apoya y asesora las actividades de Planificación, Administración y Gestión del recurso hídrico, logrando el cumplimiento de la meta en un 100%. 
Los profesionales contratados para apoyar y fortalecer al equipo interno de trabajo de la CRA, cuentan con una amplia experiencia en el área ambiental y sus perfiles profesionales corresponden a: (1) Ingeniero Ambiental y Sanitario  (1) Ingeniera Civil con Magister en Ingeniería Ambiental, (1) Medico Veterinario y Zootecnista, (1) Ingeniero Geográfo,  (1) Abogada.</t>
  </si>
  <si>
    <t>1~No aplica</t>
  </si>
  <si>
    <t>Número  de Consejos de Cuenca conformados y en actividad</t>
  </si>
  <si>
    <t>Como mecanismo de participación efectiva de los usuarios en la Planeación, Administración, Vigilancia y Monitoreo del recurso Hídrico se encuentran conformados tres (3) consejos de cuencas:
•	Ciénaga de Mallorquín y los Arroyos Grande y León.
•	Complejo de humedales de la vertiente occidental del Río Magdalena en el Departamento del Atlántico. 
•	Canal del Dique.
Durante lo corrido de la vigencia se adelantó reunion con el Consejo de Cuenca del Complejo de humedales de la vertiente occidental del Río Magdalena en el Departamento del Atlántico, a fin de concertar el documento de formulación del POMCA, dicha reunión se llevó a cabo el día 12 de abril del 2023.
Los demás consejos, aunque no se adelantaron reuniones estos se encuentran conformados y en actividad.</t>
  </si>
  <si>
    <t>functioning</t>
  </si>
  <si>
    <t>Funcionarios del área de planeación</t>
  </si>
  <si>
    <t>PROYECTO No 1.1.3. RECUPERACIÓN Y MANEJO DE LOS HUMEDALES DEL DEPARTAMENTO DEL ATLÁNTICO</t>
  </si>
  <si>
    <t>1.1.3.1. Realizar el mantenimiento a las compuertas de Villa Rosa y el Porvenir que regulan el Embalse del Guájaro.</t>
  </si>
  <si>
    <t>Número de mantenimiento anual a las compuertas Villa Rosa y el Porvenir</t>
  </si>
  <si>
    <t xml:space="preserve">Durante la vigencia 2023 se realizó el mantenimiento a las compuertas Villa Rosa y el Porvenir. Las actividades se ejecutaron en el marco de la adición No. 1 al Contrato No. 346 del 2022, cuyo objeto es “REALIZAR EL MANTENIMIENTO PREVENTIVO Y CORRECTIVO DE LAS ESTRUCTURAS DE REGULACION HIDRICA DE EL PORVENIR Y VILLAROSA Y LA LIMPIEZA DE LOS CANALES DE INTERCONEXION HIDRICA ENTRE EL CANAL DEL DIQUE Y EL EMBALSE EL GUAJARO COMO MEDIDA DE SOSTENIBILIDAD DEL ECOSISTEMA.”
Con las actividades realizadas se logró el cumplimiento de la meta en un 100%. </t>
  </si>
  <si>
    <t>adición 1 al contrato 346</t>
  </si>
  <si>
    <t>144~Porcentaje del cambio en la extensión de los ecosistemas relacionados con el agua a lo largo del tiempo</t>
  </si>
  <si>
    <t>1.1.3.2. Realizar intervenciones para la Recuperación Ambiental de los Humedales asociados a la Cuenca del Canal del Dique (Hidrodinámica del Embalse El Guajaro y los afluentes del ecosistema).</t>
  </si>
  <si>
    <t>Número de intervenciones para la Recuperación ambiental de los humedales asociados a la Cuenca del Canal del Dique</t>
  </si>
  <si>
    <t>Con el mantenimiento realizado en el marco del Contrato No. 261 de 2023, cuyo objeto es “REALIZAR MANTENIMIENTO Y ADECUACIÓN DE LAS ESTRUCTURAS DE REGULACIÓN HÍDRICA EL PORVENIR Y VILLA ROSA DEL EMBALSE EL GUAJARO  EN EL DEPARTAMENTO DEL ATLÁNTICO” se dió cumplimiento a la intervención anual programada para la Recuperación ambiental de los humedales asociados a la Cuenca del Canal del Dique; es decir, la meta tiene cumplimiento del 100%.</t>
  </si>
  <si>
    <t>1.1.3.3. Realizar intervenciones en los Humedales asociados a la vertiente occidental del Rio Magdalena. (Ciénagas de Malambo, Sabanagrande, Santo Tomás y Palmar de Varela).</t>
  </si>
  <si>
    <t>Número de intervenciones para la Recuperación ambiental de los humedales asociados a la vertiente occidental del Rio Magdalena</t>
  </si>
  <si>
    <t>1.1.3.4. Realizar intervenciones para la Recuperación ambiental de la Cuenca de la Ciénaga de Mallorquín (Cienaga de Mallorquin y Cienaga Rincon o Lago El Cisne).</t>
  </si>
  <si>
    <t>Número de intervenciones para la Recuperación ambiental de la cuenca de Mallorquín</t>
  </si>
  <si>
    <t>Se dió cumplimiento a la meta de realizar una intervención para la recuperación ambiental de la cuenca de Mallorquín a través del contrato No. 267 de 2023, cuyo objeto es “MANTENIMIENTO Y OPERACIÓN DEL SISTEMA INTEGRAL DE CAPTACIÓN, TRATAMIENTO CON BIOTECNOLOGÍA Y REÚSO DE LAS AGUAS DEL ARROYO LEÓN PARA GARANTIZAR LA SOSTENIBILIDAD HÍDRICA Y AMBIENTAL DE LA CIÉNAGA DEL RINCÓN "LAGO DEL CISNE" EN EL DEPARTAMENTO DEL ATLÁNTICO".</t>
  </si>
  <si>
    <t>1.1.3.5. Realizar repoblamientos anuales como estrategia de implementación de recuperación de poblaciones naturales de especies nativas asociadas al recurso hidrobiológico en los humedales del departamento.</t>
  </si>
  <si>
    <t>Número de Repoblamientos anuales para la recupoeración de especies nativas asociadas al recurso hídrico en los humedales</t>
  </si>
  <si>
    <t xml:space="preserve">La meta de Repoblamiento se cumplió con la implementacion de Plan Pescao, con el cual se realizó la siembra 12.5 millones de alevinos de lisa y lebranche. 
EL PLAN PESCAO surge como una respuesta a: La solicitud de la comunidad de mejorar no solo la productividad de los cuerpos de agua desde el punto de vista íctico, sino la necesidad de garantizar la permanencia de las poblaciones naturales de las especies nativas, realizando el rescate, salvamento traslado y siembra de más de 49 millones de alevinos durante los últimos 3 años. 
El programa Plan pescao, es un claro ejemplo de Gobernanza toda vez que genera alianzas entre entidades públicas y la comunidad de pescadores que garanticen objetivos comunes. Desde el año 2020 se trabaja de manera conjunta entre la Corporación Regional Autónoma del Atlántico (CRA), la Autoridad Nacional de Acuicultura y Pesca (Aunap), la Gobernación del Atlántico, el Ejército Nacional, Federación de pescadores del Canal del Dique y agremiaciones de pescadores de los municipios. En este proceso se han sembrado un poco más de 38 millones de alevinos en cuatro años. 
Para la vigencia 2023, la meta cuenta con el 100% de su ejecución, </t>
  </si>
  <si>
    <t>190~Proporción de poblaciones de peces que están dentro de niveles biológicamente sostenibles</t>
  </si>
  <si>
    <t>PROGRAMA No 1.2. CARACTERIZACIÓN, CUANTIFICACIÓN Y RECUPERACIÓN DEL RECURSO AGUA COMO ARTICULADOR DE LOS BIENES Y SERVICIOS AMBIENTALES</t>
  </si>
  <si>
    <t>PROYECTO No 1.2.1. USO EFICIENTE Y SOSTENIBLE DEL AGUA</t>
  </si>
  <si>
    <t>1.2.1.1. Incrementar el número de usuarios del recurso hídrico con Planes de Ahorro y Uso eficiente del Agua.</t>
  </si>
  <si>
    <t>Porcentaje de usuarios del recurso Hídrico con planes de ahorro y uso eficiente del agua.</t>
  </si>
  <si>
    <t>En la vigencia 2023 se programó el seguimiento a ciento ochenta y ocho usuarios (188)
concesiones de aguas vigente, de los cuales ciento veintisiete (127) cuentan con PUEAA aprobados, que corresponden al 90% de la meta para dicha vigencia. Logrando así la aprobación de sesenta y cuatro (64) PUEAA con un cumplimiento del 50% de la meta anual establecida.</t>
  </si>
  <si>
    <t>9~Cambio en la eficiencia del uso del agua con el tiempo</t>
  </si>
  <si>
    <t>1.2.1.2. Realizar seguimiento a la implementación de los Programas de Ahorro y uso eficiente del agua de los usuarios del Recurso Hídrico.</t>
  </si>
  <si>
    <t>Porcentaje de usuarios del recurso Hídrico con seguimiento anual</t>
  </si>
  <si>
    <t>La Corporación, en ejercicio de sus funciones como autoridad ambiental planificó el seguimiento a ciento ochenta y ocho usuarios (188) asociados al permiso de concesiones de aguas vigentes, efectuándose a la fecha seguimientos por el instrumento de control otorgado a 65 de los usuarios, logrando un avance en la meta del 35%.</t>
  </si>
  <si>
    <t>1.2.1.3. Elaborar e Implementar Proyectos para las zonas priorizadas como zonas abastecedora de recurso Hídrico.</t>
  </si>
  <si>
    <t>Número de proyectos elaborados e implementados para las zonas priorizadas como zonas abastecedora de recurso Hídrico.</t>
  </si>
  <si>
    <t>Con la ejeución del Convenio No. 0011 del 2023, cuyo objeto es: “DESARROLLO CONJUNTO DE ESTRATÉGIAS PEDAGÓGICAS, A TRAVÉS DE TALLERES PEDAGÓGICOS PRÁCTICOS, A FIN DE FORTALECER A LOS ACTORES DE LA UNIDAD AMBIENTAL COSTERA, SOBRE EL MANEJO SOSTENIBLE DE LA ZONA COSTERA, PROTECCIÓN DE LAS ZONAS ABASTECEDORAS DEL RECURSO HÍDRICO Y ECOTURISMO SOSTENIBLE”; se da cumplimiento a la meta programada para la presente vigencia.
La CRA mediante alianza realizada con FINDECO se encuentra desarrollando la Estrategias pedagógicas para elaborar e implementar proyectos educativos para la protección de las zonas abastecedoras de recurso hídrico, la cual busca capacitar a la comunidad y conocer el estado actual de las Zonas abastecedoras de recurso hídrico y desarrollar mesas de trabajo que tengan con la finalidad la formulación del proyecto de sensibilización sobre las problemáticas ambientales que afectan las zonas abastecedora del recurso hídrico con las comunidades ubicadas en las zonas costeras”.</t>
  </si>
  <si>
    <t>convenio 0011</t>
  </si>
  <si>
    <t>PROYECTO No 1.2.2. CONTROL Y PREVENCION DE LA CONTAMINACIÓN DEL RECURSO HÍDRICO</t>
  </si>
  <si>
    <t>1.2.2.1. Realizar inventario y registro de usuario (Legales y por legalizar) del recurso Hídrico, en relación con las aguas superficiales y subterráneas.</t>
  </si>
  <si>
    <t>Porcentaje de usuarios reportados en el SIRH, producto del inventario de usuarios registrados en la CRA</t>
  </si>
  <si>
    <t>Durante la vigencia se ha venido reportando en SIRH el 100% de usuartios registrados en la C.R.A</t>
  </si>
  <si>
    <t>1.2.2.2. Monitorear la Calidad del Recurso Hídrico de las Aguas Continentales</t>
  </si>
  <si>
    <t>Monitoreo anual de la calidad fisicoquímica, microbiológica e hidrobiológica  a las aguas Continentales del departamento</t>
  </si>
  <si>
    <t>Con las acciones desarrolladas en el marco del Contrato No. 305 de 2023 cuyo objeto es: “REALIZAR EL MONITOREO FISICOQUÍMICO, MICROBIOLÓGICO E HIDROBIOLÓGICO SOBRE LA CALIDAD Y ESTADO ACTUAL DE LAS FUENTES HÍDRICAS DEL DEPARTAMENTO DEL ATLÁNTICO, DESARROLLO DEL ÍNDICE DE CALIDAD DE LA CIÉNAGA CONVENTO, EN CUMPLIMIENTO DE LO ESTABLECIDO EN EL PLAN DE ACCIÓN INSTITUCIONAL 2020 - 2023.” se viene realizando monitoreo de la calidad fisicoquímica, microbiológica e hidrobiológica a las aguas Continentales del Departamento, garantizando el cumplimiento de la meta programada para la vigencia 2023.</t>
  </si>
  <si>
    <t>126~Porcentaje de masas de agua de buena calidad</t>
  </si>
  <si>
    <t>1.2.2.3. Monitorear la Calidad del Recurso Hídrico de las aguas Marinas (18 puntos establecidos en la REDCAM).</t>
  </si>
  <si>
    <t>Monitoreo anual de la calidad fisicoquímica, microbiológica a las aguas Marinas.</t>
  </si>
  <si>
    <t>1.2.2.4. Realizar reglamentación de los aportes puntuales de carga contaminante en los cuerpos de agua receptores de vertimientos en el Departamento del Atlántico</t>
  </si>
  <si>
    <t>Documento con el estado de los cuerpos de agua/objetivos de calidad hídrica en el departamento</t>
  </si>
  <si>
    <t>1.2.2.5. Realizar seguimiento de las metas de Carga Contaminantes para el periodo 2020-2023.</t>
  </si>
  <si>
    <t>Seguimiento anual a las metas de carga contaminantes</t>
  </si>
  <si>
    <t>Con capacidad instalada de la Corporación se creó la Guia para la autodeclaracion de cargas, evaluacion del cumplimiento de metas, cálculo del factor regional, liquidacion de cargas de DBO5 y SST y facturacion de la tasa retributiva para los periodos del quinquenio definidos en Acuerdo No. 009 de 2021, la cual permitirá hacer un efectivo seguimiento y control anual a las metas de carga contaminantes. 
Al cierre de la vigencia se tendrá el informe de seguimiento anual de las metas de carga contaminantes.</t>
  </si>
  <si>
    <t>1.2.2.6. Realizar inventario de los corregimientos que carecen de Saneamiento Básico en todo el departamento.</t>
  </si>
  <si>
    <t>Inventario georreferenciado de corregimientos que carecen de saneamiento básico en el departamento</t>
  </si>
  <si>
    <t>1.2.2.7. Realizar seguimiento a los vertimientos de los corregimientos del departamento del Atlántico.</t>
  </si>
  <si>
    <t>Informe Técnico anual de seguimiento a los corregimientos que carecen de saneamiento básico</t>
  </si>
  <si>
    <t>Teniendo en cuenta que los planes de saneamiento y manejo del vertimiento es un instrumento de control ambiental que contempla todas las inversiones, actividades y/o proyectos a ejecutar de los Municipios y las entidades prestadoras de servicios públicos para el saneamiento y tratamiento de las aguas residuales vertidas, se elaboraron los informes técnicos correspondientes a la vigencia 2023 para los corregimientos de Bohórquez, Buenaventura de la Leña, San José de Carreto, Caracolí, Puerto Giraldo y Algodonal, los cuales se encuentran inmersos en los PSMV de sus respectivos municipios.
Considerando lo anterior, se da cumplimiento a la meta programada para la presente vigencia.</t>
  </si>
  <si>
    <t>PROYECTO No 1.2.3. REDUCCIÓN DE LA CONTAMINACIÓN DEL RECURSO HÍDRICO</t>
  </si>
  <si>
    <t>1.2.3.1. Realizar control, seguimiento y evaluación de los vertimientos, que permita conocer el estado de los cuerpos de agua receptores.</t>
  </si>
  <si>
    <t>Informe anual de Seguimiento a las obras de saneamiento ambiental (Planta de tratamiento de aguas residuales-PTARS) para verificar el cumplimiento de las actividades priorizadas en los PSMV.</t>
  </si>
  <si>
    <t xml:space="preserve">Durante el primer semestre del año se adelantó seguimiento al estado de cumplimiento de los 23 municipios objeto de aplicación del Plan de Saneamiento y Manejo de vertimientos - PSMV, de los cuales 19 se encuentran vigentes (Soledad, Galapa, Puerto Colombia, Santo Tomás, Sabanagrande, Sabanalarga, Baranoa, Tubará, Palmar de Varela, Barranquilla, Usiacurí, Campo de la Cruz, Candelaria, Santa Lucía, Piojó, Juan de Acosta; Polonuevo, Malambo y Ponedera) y 4 en evaluación (Repelón, Manatí, Suan y Luruaco).  
Para el segundo semestre del 2023, se realizaron 24 visitas de las programadas para dicho período, de las cuales a la fecha se han generado 5 informes técnicos; una vez generados la totalidad de los informes de seguimiento se consolidará la información anual del estado de cumplimiento de los PSMV. </t>
  </si>
  <si>
    <t>1.2.3.2. (A) Reducir los aportes de contaminación puntual a los cuerpos de agua a través de sistemas de tratamiento de agua residuales.</t>
  </si>
  <si>
    <t>Municipios con reducción de los aportes de contaminantes puntuales a los cuerpos de agua de acuerdo con la implementación de los PSMV</t>
  </si>
  <si>
    <t>Con la adición No. 3 al contrato No. 249 del 2021 cuyo objeto es: “INTERVENTORÍA TÉCNICA, ADMINISTRATIVA Y FINANCIERA DEL CONTRATO CUYO OBJETO ES CONSTRUCCIÓN DE ESTACIÓN DE BOMBEO Y PLANTA DE TRATAMIENTO DE AGUAS RESIDUALES PARA EL MUNICIPIO DE JUAN DE ACOSTA Y EL SECTOR DE EL VAIVÉN EN EL DEPARTAMENTO DEL ATLÁNTICO” Y EL ADICIONAL NO.4 AL CONTRATO NO.354 DEL 2019 CUYO OBJETO ES: “REALIZAR LA INTERVENTORIA TÉCNICA ADMINISTRATIVA Y FINANCIERA DE LA CONSTRUCCION DE LA PLANTA DE TRATAMIENTO DE AGUAS RESIDUALES PARA EL MUNICIPIO DE PIOJÓ, DEPARTAMENTO DEL ATLANTICO” se da cumplimiento a la meta de municipios con apoyo en la implementación de los PSMV en la vigencia 2023.</t>
  </si>
  <si>
    <t>capacidad instalada</t>
  </si>
  <si>
    <t>103~Porcentaje de aguas residuales tratadas de manera segura</t>
  </si>
  <si>
    <t>Número de proyectos con apoyo en la implementación de PTARS</t>
  </si>
  <si>
    <t>on el adicional No. 3 al contrato No. 440 del 2019 cuyo objeto es: “CONSTRUCCIÓN PLANTA DE TRATAMIENTO DE AGUAS RESIDUALES PARA LOS MUNICIPIOS DE SANTOTOMÁS, SABANAGRANDE Y PALMAR DE VARELA, UBICADA E SANTO TOMÁS – DEPARTAMENTO DEL ATLÁNTICO” se da cumplimiento a la meta de municipios con apoyo en la implementación de las PTARS.</t>
  </si>
  <si>
    <t>PROGRAMA No 1.3. GESTIÓN INTEGRAL DE LOS RIESGOS ASOCIADOS AL RECURSO HÍDRICO</t>
  </si>
  <si>
    <t>PROYECTO No 1.3.1. GENERACIÓN DE CONOCIMIENTO Y REDUCCIÓN DEL RIESGO ASOCIADO AL RECURSO HÍDRICO</t>
  </si>
  <si>
    <t>Documento técnico con la identificación de ecosistemas claves e inventario de los riesgos sobre infraestructuras de abastecimiento de agua</t>
  </si>
  <si>
    <t>89~Número de países que han comunicado el fortalecimiento de la capacidad institucional, sistémica e individual para implementar la adaptación, la mitigación y la transferencia de tecnología, y acciones desarrolladas</t>
  </si>
  <si>
    <t>Número de proyectos de mitigación y adaptación de gestión del riesgo asociado a recurso Hídrico</t>
  </si>
  <si>
    <t>e da cumplimiento a la meta programada para la presente vigencia con la ejecución el contrato No. 292 de 2023 cuyo objeto es: “REALIZAR LAS ACCIONES PARA GARANTIZAR LA SOSTENIBILIDAD HÍDRICA Y AMBIENTAL DE LA CIÉNAGA DE MALLORQUÍN Y LA RECUPERACIÓN DE LA HIDRODINÁMICA DEL ARROYO LEÓN EN EL DEPARTAMENTO DEL ATLÁNTICO”. Lo anterior, con la finalidad de realizar acciones que mitiguen la erosión costera en el departamento del Atlántico y recuperen la hidrodinámica del arroyo León garantizando la sostenibilidad ambiental de la ciénaga de Mallorquín, obras que permitirán fortalecer el ordenamiento territorial y la resiliencia ecosistémica encaminada a minimizar los efectos del cambio climático</t>
  </si>
  <si>
    <t>80~Número de países menos adelantados y pequeños Estados insulares en desarrollo que están recibiendo apoyo especializado para los mecanismos encaminados a aumentar la capacidad de planificación y gestión eficaces en relación con el cambio climático, incluidos los centrados en las mujeres, los jóvenes y las comunidades locales y marginadas</t>
  </si>
  <si>
    <t>Metros</t>
  </si>
  <si>
    <t>Con la suscripción del Adicional No. 04 del Contrato de Obra No. 0367 de 2014, se materializó la construcción de 350 m del Afluente No. 02 (Arroyo Coolechera), el cual tributa sus aguas hacia el Arroyo El Salao, de igual manera se llevó a cabo la construcción de los 80 m finales del Arroyo Villegas, actividades que contribuyen a mejorar la calidad de vidad de las comunidades que colindan con estos canales de aguas pluviales, cumpliendo con la meta programada para la vigencia 2023.</t>
  </si>
  <si>
    <t>adicional 04 del 367-2014</t>
  </si>
  <si>
    <t>De acuerdo con lo establecido en el Contrato de Obra No. 367 del 2014, se debe entregar un informe mensual de avance de ejecución física de la obra, por parte del contratista y de la interventoría. 
Las obras de canalización del Arroyo El Salao se encuentran finalizadas. Desde que se inició el proyecto en el año 2014, se han entregado 90 informes mensuales de avance de las obras de recuperación paisajística y ambiental del arroyo El Salao, los cuales han servido de insumo para la elaboración del respectivo de informe de supervisión. A la fecha se están adelantando actividades de monitoreo del proyecto.
Teniendo en cuenta lo anterior, se da cumplimiento a la meta programada para la vigencia 2023.</t>
  </si>
  <si>
    <t>LÍNEA ESTRATÉGICA No. 2. SOSTENIBILIDAD DEL RECURSO NATURAL</t>
  </si>
  <si>
    <t>PROGRAMA No 2.1. BIODIVERSIDAD Y RIQUEZA DE LOS ECOSISTEMAS TERRESTRES</t>
  </si>
  <si>
    <t>PROYECTO No 2.1.1. DESARROLLO FORESTAL SOSTENIBLE</t>
  </si>
  <si>
    <t>Número de hectáreas en restauración, rehabilitación y reforestación</t>
  </si>
  <si>
    <t>Para garantizar el cumplimiento de la meta, la C.R.A suscribió el Convenio  No. 009 de 2023 con la Alianza Pública para el Desarrollo Integral – ALDESARROLLO cuyo Objeto es : “AUNAR ESFUERZOS TÉCNICOS, ADMINISTRATIVOS, Y FINANCIEROS PARA DAR CONTINUIDAD AL DESARROLLO DE UN PROGRAMA DE FORTALECIMIENTO DE LA GESTIÓN AMBIENTAL SOSTENIBLE DE LOS RECURSOS NATURALES Y SECTORIALES, QUE CONTRIBUYA A LA CONSERVACIÓN DE LA BIODIVERSIDAD Y RIQUEZA DE LOS ECOSISTEMAS TERRESTRES Y MARINO COSTEROS DEL DEPARTAMENTO DEL ATLÁNTICO”.
En cumplimiento del programa de lucha contra la desertificación se seleccionó el Municipio de Sabanalarga como localización del proyecto para la restauración de 40 Ha, actividad que se encuentra en la ejecución de la construcción del método para la restauración ecológica de las hectáreas mencionadas.</t>
  </si>
  <si>
    <t>convenio 009</t>
  </si>
  <si>
    <t>39~Hacia la ordenación forestal sostenible</t>
  </si>
  <si>
    <t>2.1.1.2 Producir 150.000 plantulas, adecuar el sitio y fortalecer técnica y ambientalmente la producción de plantulas en los viveros de la CRA con fines de restauración y recuperación de suelos.</t>
  </si>
  <si>
    <t>Número de Plantulas de maderables y frutales producidas</t>
  </si>
  <si>
    <t>A través del convenio  No. 009 de 2023 con Alianza Publica para el Desarrollo Integral – ALDESARROLLO cuyo Objeto es : “AUNAR ESFUERZOS TÉCNICOS, ADMINISTRATIVOS, Y FINANCIEROS PARA DAR CONTINUIDAD AL DESARROLLO DE UN PROGRAMA DE FORTALECIMIENTO DE LA GESTIÓN AMBIENTAL SOSTENIBLE DE LOS RECURSOS NATURALES Y SECTORIALES, QUE CONTRIBUYA A LA CONSERVACIÓN DE LA BIODIVERSIDAD Y RIQUEZA DE LOS ECOSISTEMAS TERRESTRES Y MARINO COSTEROS DEL DEPARTAMENTO DEL ATLÁNTICO”. Se viene dando cumplimiento a la meta programada para la vigencia, superando además la producción en 50.000 plántulas 
En el marco del convenio, se lleva a cabo el establecimiento y producción de cien mil (100.000) plántulas de especies maderables y frutales en las instalaciones del Vivero Armando Dugand Gnecco en el Municipio de Repelón del Departamento del Atlántico</t>
  </si>
  <si>
    <t>2.1.1.3 Implementar un programa de deforestación evitada que incluya al menos las siguientes lineas de acción: articulación con sectores o entes territoriales para incentivar modelos agroambientales, alternativas de eficiencia energetica en hogares y restaurantes y educación ambiental para disminuir la extracción de leña y carbon vegetal</t>
  </si>
  <si>
    <t>Número de Municipios y/o sectores con estrategias de reconversión hacia sistemas sostenibles de producción implementados</t>
  </si>
  <si>
    <t>a C.R.A  suscribió el Convenio  No. 009 de 2023 con Alianza Publica para el Desarrollo Integral – ALDESARROLLO cuyo Objeto es : “AUNAR ESFUERZOS TÉCNICOS, ADMINISTRATIVOS, Y FINANCIEROS PARA DAR CONTINUIDAD AL DESARROLLO DE UN PROGRAMA DE FORTALECIMIENTO DE LA GESTIÓN AMBIENTAL SOSTENIBLE DE LOS RECURSOS NATURALES Y SECTORIALES, QUE CONTRIBUYA A LA CONSERVACIÓN DE LA BIODIVERSIDAD Y RIQUEZA DE LOS ECOSISTEMAS TERRESTRES Y MARINO COSTEROS DEL DEPARTAMENTO DEL ATLÁNTICO”.
Para la implementación de estrategias de reconversión hacia sistemas sostenibles de producción se seleccionaron los municipios de Tubará y Piojó.</t>
  </si>
  <si>
    <t>Número de Medidas de adaptación al cambio climático implementadas</t>
  </si>
  <si>
    <t>Número de Hectáreas de suelos degradados en recuperación o rehabilitación</t>
  </si>
  <si>
    <t>Para dar cumplimiento a la meta, la C.R.A suscribió el Convenio  No. 009 de 2023 con Alianza Publica para el Desarrollo Integral – ALDESARROLLO cuyo Objeto es : “AUNAR ESFUERZOS TÉCNICOS, ADMINISTRATIVOS, Y FINANCIEROS PARA DAR CONTINUIDAD AL DESARROLLO DE UN PROGRAMA DE FORTALECIMIENTO DE LA GESTIÓN AMBIENTAL SOSTENIBLE DE LOS RECURSOS NATURALES Y SECTORIALES, QUE CONTRIBUYA A LA CONSERVACIÓN DE LA BIODIVERSIDAD Y RIQUEZA DE LOS ECOSISTEMAS TERRESTRES Y MARINO COSTEROS DEL DEPARTAMENTO DEL ATLÁNTICO”.
En el marco del convenio se lleva a cabo la implementación  del programa aprobado, a través de estrategias o medidas que resulten del grado de afectación, para recuperar el suelo</t>
  </si>
  <si>
    <t>143~Porcentaje de tierras degradadas en comparación con la superficie total</t>
  </si>
  <si>
    <t>PROYECTO No 2.1.2. GESTIÓN DE ESPECIES</t>
  </si>
  <si>
    <t>2.1.2.1.Realizar el diagnóstico de las especies invasoras del departamento y diseñar una estrategia regional para el control de especies invasoras, exóticas y trasplantadas</t>
  </si>
  <si>
    <t>Número de Documentos Diagnóstico realizados</t>
  </si>
  <si>
    <t>184~Proporción de países que adoptan legislación nacional relevante y adecuadamente dotan de recursos a la prevención o control de especies exóticas invasoras</t>
  </si>
  <si>
    <t>La Corporación Autónoma Regional viene dando cumplimiento a la meta, en el marco del Convenio No.001 de 2023 celebrado con la Corporación Universidad Americana cuyo Objeto es el “DESARROLLO CONJUNTO DE ESTRATEGIAS DE EDUCACIÓN AMBIENTAL EN RELACIÓN CON LA CONSERVACIÓN DE LA BIODIVERSIDAD EN EL DEPARTAMENTO DEL ATLÁNTICO Y PROMOVER UN PROGRAMA DE CONSERVACIÓN DE ESPECIES DE FAUNA Y FLORA SILVESTRE CON ALGÚN RANGO DE AMENAZA CON LA PARTICIPACIÓN DE LAS COMUNIDADES LOCALES”.
Dentro de las actividades planteadas en el convenio se encuentra brindar apoyo a la C.R.A en la Implementación medidas de prevención, control y manejo de las principales especies invasoras en el departamento, para lo cual se organizó un programa formativo para que la autoridad ambiental posicione a la población de dos Municipios: Sabanalarga y Repelón en la temática de especies exóticas e invasoras. 
En el proceso se encuentra la realización de dos programas de divulgación, manejo y uso sostenible de las especies: 
•	La Tarulla (Eichhornia C.R.Assipes)
•	Neem (Azadirachta indica)</t>
  </si>
  <si>
    <t>convenio 001</t>
  </si>
  <si>
    <t>2.1.2.3. Implementar proyectos comunitarios para la conservación y uso sostenible de especies amenazadas priorizadas para el departamento del Atlántico.</t>
  </si>
  <si>
    <t>Número de Proyectos comunitarios implementados</t>
  </si>
  <si>
    <t>57~La asistencia oficial para el desarrollo y el gasto público en la conservación y el uso sostenible de la diversidad biológica y los ecosistemas</t>
  </si>
  <si>
    <t>2.1.2.4. Actualizar el inventario de Fauna y Flora Silvestre del Departamento del Atlántico</t>
  </si>
  <si>
    <t>Número de Inventarios realizados</t>
  </si>
  <si>
    <t>47~Índice de la Lista Roja</t>
  </si>
  <si>
    <t>Número de Municipios intervenidos para las 6 medidas de conservaciòn de especies amenazadas</t>
  </si>
  <si>
    <t>Con la intervención a los municipios de Santo Tomás, Ponedera y Palmar de Varela para las 6 medidas de conservaciòn de especies amanazadas se da cumplimiento al 100% de la meta programada para la vigencia 2023. 
Las acciones desarrolladas se vienen ejecutando en el marco del Convenio No. 001 del 2023 con la Corporación Universidad Americana, cuyo Objeto es el “DESARROLLO CONJUNTO DE ESTRATEGIAS DE EDUCACIÓN AMBIENTAL EN RELACIÓN CON LA CONSERVACIÓN DE LA BIODIVERSIDAD EN EL DEPARTAMENTO DEL ATLÁNTICO Y PROMOVER UN PROGRAMA DE CONSERVACIÓN DE ESPECIES DE FAUNA Y FLORA SILVESTRE CON ALGÚN RANGO DE AMENAZA CON LA PARTICIPACIÓN DE LAS COMUNIDADES LOCALES”.
Se han realizado talleres dirigidos a la comunidad de los municipios de Santo Tomás, Ponedera y Palmar de Valera, en los cuales han participado 210 personas. A través de mesas de trabajo se escogieron las 6 especies, teniendo en cuenta su grado de amenaza y la manera como culturalmente son utilizadas por las comunidades atentando con la supervivencia de las mismas.</t>
  </si>
  <si>
    <t>PROGRAMA No 2.2. BIODIVERSIDAD Y RIQUEZA DE LOS ECOSISTEMAS MARINO COSTERO</t>
  </si>
  <si>
    <t>PROYECTO No 2.2.1. ORDENACIÓN Y MANEJO DE LA UNIDAD AMBIENTAL COSTERA</t>
  </si>
  <si>
    <t>2.2.1.1. Adoptar e implementar el Plan de Ordenación y Manejo-POMIUAC de la Unidad Ambiental Costera-UAC del Rio Magdalena</t>
  </si>
  <si>
    <t>Número de acciones de manejo de la Unidad Ambiental Costera</t>
  </si>
  <si>
    <t>Durante la vigencia 2023, si bien no se logró adoptar el POMIUAC de la Unidad Ambiental Costera Río Magdalena, se adelantaron las siguientes acciones encaminadas a lograr dicho objetivo:
Se participó en mesa de trabajo, convocada por la Dirección de Asuntos Marinos, Costeros y Recursos Acuaticos - DAMCRA del MADS para socializar el proceso de actualización de la Politica Nacional Ambiental para el Desarrollo Sostenible de los Espacios Oceánicos y las Zonas Costeras e Insulares de Colombia -PNAOCI, y la socialización de avances y dificultades en la adopción de los POMIUAC, la cual se llevó a cabo por TEAMS el día 2 de noviembre de 2023 a partir de las 9:00 a.m. hasta las 12:00 p.m.</t>
  </si>
  <si>
    <t>convenio 011</t>
  </si>
  <si>
    <t>84~Número de países que avanzan en ratificar, aceptar e implementar mediante mecanismos legales, normativos e institucionales, instrumentos relacionados con los océanos que implementan el derecho internacional, como se refleja en la Convención, para la conservación y el uso sostenible de los océanos y sus recursos</t>
  </si>
  <si>
    <t>Número de playas con estrategias de manejo sostenible implementadas.</t>
  </si>
  <si>
    <t>Se da cumplimiento a la meta de 2 Playas con estrategia de manejo sostenible a través del Convenio No. 011 del 2023, celebrado con la Fundación para la Investigación y el Desarrollo de Colombia – FINDECO cuyo Objeto es “DESARROLLO CONJUNTO DE ESTRATEGIAS PEDAGÓGICAS, A TRAVÉS DE TALLERES PEDAGÓGICOS PRÁCTICOS, A FIN DE FORTALECER A LOS ACTORES DE LA UNIDAD AMBIENTAL COSTERA, SOBRE EL MANEJO SOSTENIBLE DE LA ZONA COSTERA, PROTECCIÓN DE LAS ZONAS ABASTECEDORAS DEL RECURSO HÍDRICO Y ECOTURISMO SOSTENIBLE”.
En el marco del convenio se vienen ejecutando las siguientes actividades:
	Elaboración de un documento que describa el estado o situación actual tanto ambientales, socioculturales, económico y de seguridad de las playas turísticas ubicadas en los municipios de Puerto Colombia, Tubará y Juan de Acosta.
Corredor de Playa No 1: Puerto Colombia (3 playas)
Corredor de Playa No 2: Tubará y Juan de Acosta</t>
  </si>
  <si>
    <t>PROYECTO No 2.2.2. MITIGACIÓN DE RIESGO COSTEROS</t>
  </si>
  <si>
    <t>2.2.2.1. Definir e implementar acciones para controlar y mitigar el estado de la Erosión Costera en el Departamento del Atlàntico.</t>
  </si>
  <si>
    <t>Número de Acciones Implementadas</t>
  </si>
  <si>
    <t>Para el cumplimiento de la meta, se vienen desarrollando acciones a través del Convenio No. 008 de 2023 con el Instituto de Investigaciones Marinas y Costeras Jose Benito Vives de Andreis – INVEMAR cuyo  Objeto es “AUNAR ESFUERZOS TÉCNICOS, ADMINISTRATIVOS Y FINANCIEROS PARA REALIZAR EL MONITOREO DE CALIDAD DE AGUAS MARINAS Y COSTERAS EN EL MARCO DE LA REDCAM, DIAGNÓSTICO DEL ECOSISTEMA DE PASTOS MARINOS EN PUERTO VELERO Y SEGUIMIENTO A LA EROSIÓN COSTERA EN LA CIÉNAGA DE MALLORQUÍN”.
En el marco del convenio, las actividades desarrolladas dentro del mismo enmarcan la generación del estado del arte que se encuentran orientadas a recopilar, analizar y sintetizar información de las investigaciones sobre la erosión costera en la Ciénaga de Mallorquín. 
Lo anterior, proporcionará una comprensión de la historia, progreso y estado actual de la investigación para reconocer vacíos en el conocimiento, evitar duplicación de esfuerzos e identificar colaboraciones y/o alianzas para generar investigaciones innovadoras y relevantes en la zona de estudio.</t>
  </si>
  <si>
    <t>75~Número de países con estrategias nacionales y locales para la reducción del riesgo de desastres</t>
  </si>
  <si>
    <t>PROYECTO No 2.2.3. CONSERVACIÓN DE ECOSISTEMAS MARINOS Y COSTEROS</t>
  </si>
  <si>
    <t>2.2.3.1. Diseñar y ejecutar un programa educativo dirigido a la conservación de la Biodiversidad Marino-Costera del departamento del Atlántico, con enfasis en el cumplimiento de las leyes y orientado a controlar la destrucción de barreras naturales de protección de las costas, tales como manglares, arrecifes coralinos, islas de barrera y otras características geomorfológicas de protección.</t>
  </si>
  <si>
    <t>Número de programas Educativos dirigidos a la Conservación de la Biodiversidad Marino-Costera ejecutados</t>
  </si>
  <si>
    <t>Con el desarrollo de dos (2) programas educativos en los municipios de Puerto Colombia, Tubará y Juan de Acosta, dirigidos a la conservación de la Biodiversidad Marino-Costera, se da cumplimiento al 100% de la meta programada para la presente vigencia.
Las acciones respectivas se ejecutan en el marco del Convenio No. 011 de 2023 con la Fundación para la Investigación y el Desarrollo de Colombia – FINDECO cuyo Objeto es “DESARROLLO CONJUNTO DE ESTRATEGIAS PEDAGÓGICAS, A TRAVÉS DE TALLERES PEDAGÓGICOS PRÁCTICOS, A FIN DE FORTALECER A LOS ACTORES DE LA UNIDAD AMBIENTAL COSTERA, SOBRE EL MANEJO SOSTENIBLE DE LA ZONA COSTERA, PROTECCIÓN DE LAS ZONAS ABASTECEDORAS DEL RECURSO HÍDRICO Y ECOTURISMO SOSTENIBLE”.
A través del convenio se desarrolló un programa educativo consistente en doce (12) talleres, cuatro talleres por cada institución dirigidos a 90 estudiantes pertenecientes a tres (3) instituciones educativas ubicadas en los municipios de Puerto Colombia, Tubará, Juan de Acosta, con la intención de sensibilizar y brindar conocimiento acerca de la de la biodiversidad marino Costera- del Departamento del Atlántico.</t>
  </si>
  <si>
    <t>2.2.3.2. Establecer un Programa de Control y Monitoreo de la Unidad Ambiental Costera</t>
  </si>
  <si>
    <t>Número de mantenimientos realizados a la Red de Monitoreo formulada, implementada y con seguimiento</t>
  </si>
  <si>
    <t>PROGRAMA No 2.3. ESTRATEGIAS REGIONALES DE CONSERVACIÓN</t>
  </si>
  <si>
    <t>PROYECTO No 2.3.1. ÁREAS PROTEGIDAS</t>
  </si>
  <si>
    <t>2.3.1.1. Actualizar y ejecutar los Planes de Manejo Ambiental de las Áreas Protegidas del Departamento</t>
  </si>
  <si>
    <t>Número de Planes de Manejo Actualizados</t>
  </si>
  <si>
    <t>Número de Acciones realizadas en el cumplimiento de los planes de manejo de las áreas protegidas</t>
  </si>
  <si>
    <t>La Corporación Autónoma Regional del Atlántico suscribió el Convenio No. 001 de 2023 con la Corporación Universidad Americana, cuyo objeto es “DESARROLLO CONJUNTO DE ESTRATEGIAS DE EDUCACIÓN AMBIENTAL EN RELACIÓN CON LA CONSERVACIÓN DE LA BIODIVERSIDAD EN EL DEPARTAMENTO DEL ATLÁNTICO Y PROMOVER UN PROGRAMA DE CONSERVACIÓN DE ESPECIES DE FAUNA Y FLORA SILVESTRE CON ALGÚN RANGO DE AMENAZA CON LA PARTICIPACIÓN DE LAS COMUNIDADES LOCALES”.
Dentro de las actividades planteadas en el proyecto se encuentran la de establecer acciones para promover la conservación efectiva y el cumplimiento de las áreas protegidas declaradas, para ello, con el ánimo de promover la conservación de los recursos naturales se realizan acciones establecidas en los planes de manejo de las áreas de:
	Reserva Forestal Protectora El Palomar ubicada en el municipio de Piojó.
	Distrito Regional de Manejo Integrado DRMI Palmar del Titi, ubicada ente los municipios de Luruaco y Piojó.
Dichas acciones estan enfocadas en la disposición y manejo de residuos sólidos y el fortalecimiento de las actividades ecoturísticas en las áreas protegidas.</t>
  </si>
  <si>
    <t>Número de hectáreas en proceso de restauración para conservación de áreas protegidas</t>
  </si>
  <si>
    <t>La Corporación Autónoma Regional suscribió el Convenio No. 001 de 2023 con la Corporación Universidad Americana  cuyo objeto es “DESARROLLO CONJUNTO DE ESTRATEGIAS DE EDUCACIÓN AMBIENTAL EN RELACIÓN CON LA CONSERVACIÓN DE LA BIODIVERSIDAD EN EL DEPARTAMENTO DEL ATLÁNTICO Y PROMOVER UN PROGRAMA DE CONSERVACIÓN DE ESPECIES DE FAUNA Y FLORA SILVESTRE CON ALGÚN RANGO DE AMENAZA CON LA PARTICIPACIÓN DE LAS COMUNIDADES LOCALES” a través del cual dará a 31 de diciembre el cumplimiento de la meta programada.
Dentro de las actividades planteadas se encuentra la implementación proyectos de restauración y conectividad del Bosque Seco enmarcadas en el SIRAP, SIDAP, SILAP en el Atlántico.
Dando continuidad a los procesos de apoyo comunitario, en los procesos de conservación de bosques secos en ecosistemas estratégicos se realizó una reunión con la comunidad de Punta Polonia en el municipio de Manatí, con la cual fueron identificadas 56 hectáreas de bosque seco con el objetivo de iniciar un proceso de restauración. 
En la siguiente tabla se especifican los predios dónde fueron sembrados 1.200 árboles de especies nativas con participación activa de la comunidad, esta siembra será monitoreada y digitalizada en aras de conocer el sitio de la siembra y realizar a futuro un seguimiento del mismo.</t>
  </si>
  <si>
    <t>2.3.1.4. Adquirir predios privados localizados al interior de las Áreas protegidas</t>
  </si>
  <si>
    <t>Números de hectáreas adquiridas al interior de las áreas protegidas</t>
  </si>
  <si>
    <t>A través de una medida de compensación fueron adquiridas 86 hectáreas del predio Calacoto, de conservación de bosque seco tropical en el Distrito de Manejo Integrado DMI Luriza, área protegida ubicada en el municipio de Usiacurí, dando cumplimiento a la meta programada para la vigencia 2023.</t>
  </si>
  <si>
    <t>191~Proporción de sitios importantes para la biodiversidad terrestre y de agua dulce que están cubiertos por las áreas protegidas, por tipo de ecosistema</t>
  </si>
  <si>
    <t>2.3.1.5.(A) Declarar nuevas Áreas Protegidas en el Departamento con registro ante el RUNAP</t>
  </si>
  <si>
    <t>Número de hectáreas protegidas regionales declaradas, homologadas o recategorizadas, inscritas en el RUNAP</t>
  </si>
  <si>
    <t>Con la ejecución del Convenio No. 001 de 2023 cuyo objeto es “DESARROLLO CONJUNTO DE ESTRATEGIAS DE EDUCACIÓN AMBIENTAL EN RELACIÓN CON LA CONSERVACIÓN DE LA BIODIVERSIDAD EN EL DEPARTAMENTO DEL ATLÁNTICO Y PROMOVER UN PROGRAMA DE CONSERVACIÓN DE ESPECIES DE FAUNA Y FLORA SILVESTRE CON ALGÚN RANGO DE AMENAZA CON LA PARTICIPACIÓN DE LAS COMUNIDADES LOCALES” celebrado con la Corporación Universidad Americana, se vienen ejecutando acciones para declarar nuevas áreas protegidas en el departamento, con registro ante el RUNAP, para ello se busca brindar apoyo a la C.R.A con la elaboración de un documento que describa el estado o situación actual de la potencial área protegida Cerro la Vieja ubicada en el Municipio de Piojó que incluya el aspecto social, cultural, económico y biofísico, así como los conflictos socio ambientales, restricciones y potencialidades, demanda de bienes y servicios, impactos generados, condiciones de amenaza y vulnerabilidad, apoyo en la elaboración de un documento que presente una caracterización de la zona con información detallada en los aspectos climáticos, bióticos, abióticos, sociales, productivos, económicos y jurídicos elaborando la línea base relacionada con las problemáticas, restricciones y potencialidades del Cerro la Vieja y realizar la identificación de actores claves que deseen participar del proceso de la ruta crítica para la declaratoria del área potencial de reserva El Cerro la Vieja ubicada en el municipio de Piojó-Atlántico.</t>
  </si>
  <si>
    <t>2.3.1.5.(B) Declarar nuevas Áreas Protegidas en el Departamento con registro ante el RUNAP</t>
  </si>
  <si>
    <t>Documentos síntesis del proceso de declaratoria de 1,300 has de áreas protegida según decreto 1076 de 2015</t>
  </si>
  <si>
    <t>Con la ejecución del Convenio No. 001 de 2023 cuyo objeto es “DESARROLLO CONJUNTO DE ESTRATEGIAS DE EDUCACIÓN AMBIENTAL EN RELACIÓN CON LA CONSERVACIÓN DE LA BIODIVERSIDAD EN EL DEPARTAMENTO DEL ATLÁNTICO Y PROMOVER UN PROGRAMA DE CONSERVACIÓN DE ESPECIES DE FAUNA Y FLORA SILVESTRE CON ALGÚN RANGO DE AMENAZA CON LA PARTICIPACIÓN DE LAS COMUNIDADES LOCALES” 
Dentro de las actividades planteadas en el proyecto se encuentra declarar nuevas áreas protegidas en el departamento con registro ante el RUNAP, para ello se realizó la elaboración de un documento que presente una caracterización de la zona con información detallada en los aspectos climáticos, bióticos, abióticos, sociales, productivos, económicos y jurídicos elaborando la línea base relacionada con las problemáticas, restricciones y potencialidades del Cerro la Vieja.
Se Realizó la convocatoria e inscripción de 50 miembros de la comunidad del municipio de Piojó para el proceso de la ruta crítica para la declaratoria del área potencial de reserva El Cerro la Vieja ubicada en el municipio de Piojó-Atlántico.</t>
  </si>
  <si>
    <t>Número de programas formulados y ejecutados en la conservación de las áreas protegidas</t>
  </si>
  <si>
    <t>La Corporación Autónoma Regional del Atlántico suscribió el Convenio No. 001 de 2023 con la Corporación Universidad Americana cuyo objeto es “DESARROLLO CONJUNTO DE ESTRATEGIAS DE EDUCACIÓN AMBIENTAL EN RELACIÓN CON LA CONSERVACIÓN DE LA BIODIVERSIDAD EN EL DEPARTAMENTO DEL ATLÁNTICO Y PROMOVER UN PROGRAMA DE CONSERVACIÓN DE ESPECIES DE FAUNA Y FLORA SILVESTRE CON ALGÚN RANGO DE AMENAZA CON LA PARTICIPACIÓN DE LAS COMUNIDADES LOCALES”.
Dentro de las actividades que se ejecutan con el convenio se encuentran: Implementar, formular y ejecutar programas de asistencia técnica para la implementación de estrategias educativo-ambientales y de participación encaminadas a la conservación de las áreas protegidas declaradas en el departamento del Atlántico.</t>
  </si>
  <si>
    <t>Número de Estrategias desarrolladas</t>
  </si>
  <si>
    <t>2.3.1.7. Formular e implementar actividades de protección y recuperación de las zonas de acuiferos ubicadas en las áreas protegidas, para prevenir y mitigar el impacto negativo en el recurso hídrico</t>
  </si>
  <si>
    <t>Número de fuentes hídricas intervenidas</t>
  </si>
  <si>
    <t>Número de proyectos formulados e implementados.</t>
  </si>
  <si>
    <t>70~Número de estrategias sostenibles de turismo o políticas y planes de acción implementados, con un seguimiento acordado, y herramientas de evaluación.</t>
  </si>
  <si>
    <t>Número de estudios realizados</t>
  </si>
  <si>
    <t>2.3.1.11. Gestión del riesgo de desastre por incendio de cobertura vegetal en áreas declaradas como áreas protegidas.</t>
  </si>
  <si>
    <t>Número de protocolos implementados</t>
  </si>
  <si>
    <t>PROYECTO No 2.3.2. NEGOCIOS VERDES</t>
  </si>
  <si>
    <t>2.3.2.1. Actualizar la ventanilla nodo de negocios verdes creada para el departamento del Atlántico.</t>
  </si>
  <si>
    <t xml:space="preserve"> Número de ventanillas actualizada</t>
  </si>
  <si>
    <t>2.3.2.2. Diseñar la Asistencia técnica que permita la consolidación, fortalecimiento de los Negocios Verdes en el Atlántico</t>
  </si>
  <si>
    <t>Número de de negocios verdes consolidados</t>
  </si>
  <si>
    <t>Se viene cumpliendo con la meta programada para la presente vigencia a través del Convenio No. 005 de 2023 cuyo objeto es “AUNAR ESFUERZOS PARA DESARROLLAR ACCIONES QUE PROMUEVAN LA CONSERVACIÓN DE LOS RECURSOS NATURALES EN EL DEPARTAMENTO DEL ATLÁNTICO, A TRAVÉS DE LA IDENTIFICACIÓN, CONSOLIDACIÓN Y FORTALECIMIENTO DE NEGOCIOS VERDES COMO ENFOQUE A LA ACTIVACIÓN DE LA ECONOMÍA LOCAL CIRCULAR, LA AUTOGESTIÓN AMBIENTAL Y EL DESARROLLO DE PRÁCTICAS LIMPIAS PARA EL MEJORAMIENTO DEL SECTOR PRODUCTIVO”, celebrado con la Corporación Universidad Americana.
En el marco del convenio, se han desarrollado una serie de estrategias de divulgación e información que han permitido la realización de más de 34 visitas para el proceso de identificación de potenciales negocios verdes dando cumplimiento al 100% de la meta programada al cierre de la vigencia 2023.</t>
  </si>
  <si>
    <t>convenio 005</t>
  </si>
  <si>
    <t>Número de Ferias realizadas</t>
  </si>
  <si>
    <t>La Corporación Autónoma Regional suscribió el Convenio No. 005 de 2023 con la Corporación Universidad Americana cuyo objeto es “AUNAR ESFUERZOS PARA DESARROLLAR ACCIONES QUE PROMUEVAN LA CONSERVACIÓN DE LOS RECURSOS NATURALES EN EL DEPARTAMENTO DEL ATLÁNTICO, A TRAVÉS DE LA IDENTIFICACIÓN, CONSOLIDACIÓN Y FORTALECIMIENTO DE NEGOCIOS VERDES COMO ENFOQUE A LA ACTIVACIÓN DE LA ECONOMÍA LOCAL CIRCULAR, LA AUTOGESTIÓN AMBIENTAL Y EL DESARROLLO DE PRÁCTICAS LIMPIAS PARA EL MEJORAMIENTO DEL SECTOR PRODUCTIVO”.
Dentro de las actividades planteadas en el proyecto se realizó una feria comercial departamental de Negocios verdes del Atlántico, los días 21 y 22 de noviembre, la cual contó con la participación de treinta y cinco (35) Negocios verdes entre aquellos certificados por la C.R.A y emprendimientos Verdes que pudieron participar por su óptima prestación del bien o servicio.</t>
  </si>
  <si>
    <t>2.3.2.4. Celebrar Convenios de Cooperación o alianzas con el sector público o privado nacional o internacional que permita fortalecer la oferta de asitencia técnica y de marketing de los Negocios Verdes existentes en el departamento del Atlántico.</t>
  </si>
  <si>
    <t>Número de convenios establecidos</t>
  </si>
  <si>
    <t>PROYECTO No 2.3.3. BOLSA VERDE ATLÁNTICO</t>
  </si>
  <si>
    <t>2.3.3.1. Estructurar e implementar la primera fase del Programa Regional de compensaciones ambientales agrupadas denominado Bolsa Verde Atlántico, con el objetivo de preservar y restaurar las áreas prioritarias de conservación de la biodiversidad del Atlántico</t>
  </si>
  <si>
    <t>Seguimiento anual a la implementación del Programa Bolsa Verde</t>
  </si>
  <si>
    <t>La Corporación, dentro del marco del programa de bolsa verde, a pesar de no contar con el respectivo operador del programa, ha avanzado en el desarrollo de las estrategias contempladas en uno de los proyectos priorizados relacionados con bosque seco, para lo cual aprobó la compra de aproximadamente 200 ha. en las áreas protegidas de Luriza y El Palomar y dentro de las mismas, la acciones a que hay lugar dentro del Plan de cada área protegida, a través de la compensación aprobada a empresas tales como Amarillo, Concesión Costera, entre otras.
De ello se hizo entrega formal por parte de las empresas y el respectivo seguimiento para la vigencia 2023, lo que nos ha permitido determinar la eficacia del diseño propuesto en el marco de Bolsa Verde. Si bien es cierto no se adelanta en el marco de las acciones de la bolsa con el valor definido para participar en ella, si se adelantan los objetivos del programa de manera directa por parte de la empresa amarillo para este caso.</t>
  </si>
  <si>
    <t>LÍNEA ESTRATÉGICA 3. SOSTENIBILIDAD DEMOCRÁTICA</t>
  </si>
  <si>
    <t>PROGRAMA No 3.1. LA EDUCACIÓN AMBIENTAL COMO PROCESO DE TRANSFORMACIÓN CULTURAL PARA LA SOSTENIBILIDAD.</t>
  </si>
  <si>
    <t>PROYECTO No 3.1.1. FORTALECIMIENTO DE LOS COMITES INTERINSTITUCIONALES DE EDUCACIÓN AMBIENTAL-CIDEA</t>
  </si>
  <si>
    <t xml:space="preserve"> Número de PMEA formulados</t>
  </si>
  <si>
    <t>37~Grado en el que (i) la educación para la ciudadanía global y (ii) la educación para el desarrollo sostenible (incluyendo educación sobre el cambio climático) son establecidos en (a) las políticas nacionales de educación (b) los planes de estudio (c) la formación del profesorado y (d) evaluación de los alumnos</t>
  </si>
  <si>
    <t>Números de acciones ejecutadas en CIDEAS municipales</t>
  </si>
  <si>
    <t>Con las acciones apoyadas y ejecutadas propuestas en los PMEA de los CIDEA municipales, se da cumplimiento a la meta programada para la vigencia 2023 con la ejecución del contrato No.183 del 2023. cuyo objeto es: PRESTAR LOS SERVICIOS DE UN PROFESIONAL EN LA OFICINA ASESORA DE PLANEACION PARA LA ASESORÍA Y APOYO EN LOS PROCESOS DE EDUCACIÓN AMBIENTAL, ESPECIALMENTE EN LOS COMITÉS TÉCNICOS INTERINSTITUCIONALES DE EDUCACIÓN AMBIENTAL DEPARTAMENTAL Y MUNICIPALES.
Entre las las acciones desarrolladas en los municipios podemos destacar las siguientes:
•	CIDEA MALAMBO: se acompañó en una reunión del CIDEAM el día 29 de marzo. Se hizo una recontextualización sobre la estructura y lo que es el CIDEA, teniendo en cuenta la presencia de nuevos integrantes; se presentó el análisis parcial del Diagnostico para la construcción del PEAM.
•	CIDEAM SABANAGRANDE: el día 19 de abril se realizó acompañamiento a la coordinación del CIDEA en el lanzamiento de la propuesta pedagógica transversal de ética y valores denominada “El Tesoro de la Vida”. En la Sede de Primaria Policarpa Salavarrieta, de la Institución Educativa Técnica Comercial “Francisco Cartusciello”-INSTEC del Municipio de Sabanagrande.”.
•	CIDEA SANTO TOMÁS: se asesoró al nuevo secretario de Planeación Municipal y a su asesor en las responsabilidades como coordinador del CIDEAM y las acciones que se deben adelantar para retomar el trabajo del comité en el marco de la construcción del PEAM. El encuentro se llevó a cabo el día 06 de junio, en las instalaciones de la Secretaría de Planeación, en el edificio de la Alcaldía Municipal de Santo Tomás. Entre otras.</t>
  </si>
  <si>
    <t>convenio 006</t>
  </si>
  <si>
    <t>Número de acciones apoyadas del CIDEA departamental.</t>
  </si>
  <si>
    <t>Con el desarrollo de las acciones ejecutadas en el marco del convenio de asociación No. 0006 del 2023, cuyo objeto es: AUNAR ESFUERZOS PARA FORTALECER LA GESTIÓN AMBIENTAL MEDIANTE EL APOYO AL PROGRAMA DE EDUCACIÓN AMBIENTAL, DENTRO DE LA EDUCACIÓN FORMAL DEL DEPARTAMENTO DEL ATLÁNTICO Y EL APOYO AL CIDEA DEPARTAMENTAL, se da cumplimiento a la meta programada en la presente vigencia.
En el marco del Apoyo a las acciones realizadas por el CIDEA departamental para la construcción de la política departamental de Educación Ambiental, el CIDEA, asesorado por Minambiente, sostuvo reuniones técnicas en las que participaron, la Secretaría de Educación Departamental y la UniAtlántico, finalizando con la construcción de la Política Departamental de Educación Ambiental, la cual será presentada ante la Asamblea departamental del Atlántico en el mes de noviembre del 2023; una vez aprobada dicha política, la C.R.A., apoyará con la impresión de la publicación que apruebe el comité, relacionada con la gestión de la educación ambiental a nivel departamental.</t>
  </si>
  <si>
    <t>PROYECTO No 3.1.2. INCLUSIÓN DEL TEMA AMBIENTAL EN LA EDUCACIÓN FORMAL</t>
  </si>
  <si>
    <r>
      <rPr>
        <sz val="10"/>
        <color rgb="FF000000"/>
        <rFont val="Arial, sans-serif"/>
      </rPr>
      <t xml:space="preserve">3.1.2.1. Brindar </t>
    </r>
    <r>
      <rPr>
        <sz val="10"/>
        <color rgb="FFFF0000"/>
        <rFont val="Arial, sans-serif"/>
      </rPr>
      <t>asistencia</t>
    </r>
    <r>
      <rPr>
        <sz val="10"/>
        <color rgb="FF000000"/>
        <rFont val="Arial, sans-serif"/>
      </rPr>
      <t xml:space="preserve"> técnica a los Proyectos Ambientales Escolares (PRAE) y apoyar acciones para su implementación.</t>
    </r>
  </si>
  <si>
    <t>Números de Proyectos Ambientales Escolares asesorados técnicamente y apoyados en su implementación</t>
  </si>
  <si>
    <t xml:space="preserve">A través del convenio de asociación No. 0006 del 2023, cuyo objeto es: AUNAR ESFUERZOS PARA FORTALECER LA GESTIÓN AMBIENTAL MEDIANTE EL APOYO AL PROGRAMA DE EDUCACIÓN AMBIENTAL, DENTRO DE LA EDUCACIÓN FORMAL DEL DEPARTAMENTO DEL ATLÁNTICO Y EL APOYO AL CIDEA DEPARTAMENTAL, la Corporación Autónoma Regional del Atlántico dio cumplimiento al 100% de la meta de asistir técnicamente a 18 PRAE durante la presente vigencia. 
El proceso de selección de los PRAE se llevó a cabo de manera rigurosa y transparente, evaluando los programas presentados por las instituciones educativas oficiales en base a criterios predefinidos y de acuerdo con las actividades desarrolladas en cada una de ellas. </t>
  </si>
  <si>
    <t>Ejecución de Acciones en Educación Ambiental.</t>
  </si>
  <si>
    <t>Número de acciones que promueven la dimensión ambiental con las IES</t>
  </si>
  <si>
    <t>Para promover la dimensión ambiental, se estableció alianza con la Fundacion Alianza Tecnologica y Desarrollo Educativo - ALITIC a través del convenio de asociación No. 0006 del 2023, que tiene por objeto: “AUNAR ESFUERZOS PARA FORTALECER LA GESTIÓN AMBIENTAL MEDIANTE EL APOYO AL PROGRAMA DE EDUCACIÓN AMBIENTAL, DENTRO DE LA EDUCACIÓN FORMAL DEL DEPARTAMENTO DEL ATLÁNTICO Y EL APOYO AL CIDEA DEPARTAMENTAL”, dando cumplimiento al 100% de la meta programada.
En el marco del convenio, la C.R.A viene desarrollando actividades para llevar a cabo el diplomado, “Resignificación de los Proyectos Ambientales Escolares", elaborado por la
Subdirección de Educación y Participación del MINAMBIENTE, el cual se desarrolla por la necesidad de continuar fortalecimiento nuestro compromiso y promover la sostenibilidad y la educación ambiental en las instituciones educativas.</t>
  </si>
  <si>
    <t xml:space="preserve"> Documento con el estado del arte de la educación ambiental en el departamento</t>
  </si>
  <si>
    <t>Número publicaciones del estado del arte de la educación ambiental</t>
  </si>
  <si>
    <t>PROYECTO No 3.1.3. INCLUSIÓN DEL TEMA AMBIENTAL EN LA EDUCACIÓN NO FORMAL</t>
  </si>
  <si>
    <t>Número de PROCEDA apoyados y/o implementados</t>
  </si>
  <si>
    <t>Con el apoyo de ocho (8) Proyectos Ciudadanos de Educación Ambiental en el Departamento del Atlántico, en el marco del convenio No. 007 del 2023 cuyo objeto es: “DESARROLLO CONJUNTO DE ESTRATEGIAS PARA PROMOVER LA TRANSFORMACIÓN CULTURAL Y LA PARTICIPACIÓN CIUDADANA EN EL DEPARTAMENTO DEL ATLÁNTICO, A TRAVÉS DE LA DIFUSIÓN DE CONOCIMIENTOS AMBIENTALES EN LA POBLACIÓN Y EL FORTALECIMIENTO DEL TEMA AMBIENTAL EN LOS PROCESOS DE EDUCACIÓN NO FORMAL” se dio cumplimiento a la meta programada para la vigencia 2023.</t>
  </si>
  <si>
    <t>convenio 007</t>
  </si>
  <si>
    <t>La Corporación Autónoma Regional del Atlántico – C.R.A, a través de la Escuela de Liderazgo Regional Ambiental, en alianza con la Corporación Univesidad Reformada – CUR, viene ejecutando el convenio de asociación No.004 del 2023 cuyo objeto es: “AUNAR ESFUERZOS PARA EL DESARROLLO CONJUNTO DE UN PROGRAMA DE FORMACIÓN CIUDADANA, A TRAVÉS DE ACTORES COMUNITARIOS A DOTAR CON CAPACIDAD TÉCNICA PARA ORIENTAR LOS PROCESOS PARTICIPATIVOS EN TERRITORIOS”, por medio del cual desarrollamos entre otras actividades, un proceso de capacitación teórico práctica con jóvenes de diferentes municipios del departamento del Atlántico, quienes se formaron como Gestores Ambientales Urbanos - GAU en el Departamento”. Con estas acciones se dio cumplimiento al 100% de la meta programada. 
En el marco del convenio mencionado, se realizaron talleres teórico-prácticos, cuyo propósito fue, formar Gestores Ambientales Urbanos alrededor de liderazgos y capacidad técnica, que orienten procesos participativos en función de alcanzar los niveles de sostenibilidad y resiliencia en las comunidades rurales y urbanas del departamento del Atlántico.</t>
  </si>
  <si>
    <t>convenio 004</t>
  </si>
  <si>
    <t>PROYECTO No 3.1.4. IMPULSO DE LAS ESTRATEGIAS EDUCATIVAS PARA LA CONSTRUCCIÓN DE UNA CULTURA DE PREVENCIÓN Y GESTIÓN DEL RIESGO.</t>
  </si>
  <si>
    <t>Número de proyectos implementados</t>
  </si>
  <si>
    <t>PROGRAMA No 3.2. LA PARTICIPACIÓN SOCIAL COMO FUNDAMENTO DE LA GESTIÓN AMBIENTAL TERRITORIAL.</t>
  </si>
  <si>
    <t>PROYECTO No 3.2.1. ESCUELA DE CAPACITACIÓN AMBIENTAL</t>
  </si>
  <si>
    <t>Porcentajes de talleres de capacitación realizados.</t>
  </si>
  <si>
    <t xml:space="preserve">Con el apoyo de los Contratos de Prestación de Servicios Profesionales No. 0138 de 2023, cuyo objeto es “PRESTAR LOS SERVICIOS PROFESIONALES COMO INGENIERO AMBIENTAL EN LA OFICINA ASESORA DE PLANEACIÓN, EN TEMAS DE EDUCACIÓN AMBIENTAL PARA GENERAR ESPACIOS DE PARTICIPACIÓN PARA EL FORTALECIMIENTO DE LA CULTURA AMBIENTAL CIUDADANA” y No.183 del 2022 cuyo objeto es: “PRESTAR LOS SERVICIOS DE UN PROFESIONAL EN LA OFICINA ASESORA DE PLANEACION PARA LA ASESORIA Y APOYO EN LOS PROCESOS DE EDUCACIÓN AMBIENTAL, ESPECIALMENTE EN LOS COMITÉS TÉCNICOS INTERINSTITUCIONALES DE EDUCACIÓN AMBIENTAL DEPARTAMENTAL Y MUNICIPALES”, se ha dado cumplimiento al 100% de la meta.
Atendimos la demanda de talleres de capacitación presentados por parte de la comunidad para los temas: Manejo de residuos sólidos ordinarios, economía circular, caracol africano. Se realizaron 42 talleres en los cuales fueron capacitadas 1.738 personas. </t>
  </si>
  <si>
    <t>138
183</t>
  </si>
  <si>
    <t>Número de jornadas pedagógicas itinerantes realizadas</t>
  </si>
  <si>
    <t>PROYECTO No 3.2.2 ORGANIZACIONES SOCIALES AL SERVICIO DEL SEGUIMIENTO Y PROTECCIÓN DEL AMBIENTE</t>
  </si>
  <si>
    <t>Número de proyectos educativo ambientales implementados</t>
  </si>
  <si>
    <t xml:space="preserve">La Corporación Autónoma Regional del Atlántico – C.R.A, a través de la Escuela de Liderazgo Regional Ambiental, en alianza con la Corporación Univesidad Reformada – CUR, en el marco del convenio de asociación No.004 del 2023 cuyo objeto es: “AUNAR ESFUERZOS PARA EL DESARROLLO CONJUNTO DE UN PROGRAMA DE FORMACIÓN CIUDADANA, A TRAVÉS DE ACTORES COMUNITARIOS A DOTAR CON CAPACIDAD TÉCNICA PARA ORIENTAR LOS PROCESOS PARTICIPATIVOS EN TERRITORIOS”, desarrolló procesos de capacitación teórico prácticos con jóvenes miembros de ONG para el seguimiento y evaluación de los ODS”, a través de los cuales se implementaron 4 proyectos educativos ambientales implementados, dando cumplimiento al 100% de la meta correspondiente a la vigencia 2023. </t>
  </si>
  <si>
    <t>85~Número de países que comunican avances en la efectividad del desarrollo de marcos de seguimiento de múltiples partes interesadas que apoyan el logro de objetivos de desarrollo sostenible</t>
  </si>
  <si>
    <t>Número de eventos y/o ferias realizados</t>
  </si>
  <si>
    <t>Con la realización de la feria ambiental en la que participaron ONG ambientalistas del departamento del Atlántico se dio cumplimiento al 100% de la meta. 
Las actividades desarrolladas se realizaron en el marco del convenio de asociación No.004 del 2023 cuyo objeto es: “AUNAR ESFUERZOS PARA EL DESARROLLO CONJUNTO DE UN PROGRAMA DE FORMACIÓN CIUDADANA, A TRAVÉS DE ACTORES COMUNITARIOS A DOTAR CON CAPACIDAD TÉCNICA PARA ORIENTAR LOS PROCESOS PARTICIPATIVOS EN TERRITORIOS”.</t>
  </si>
  <si>
    <t>Número de proyectos productivos implementados</t>
  </si>
  <si>
    <t>En el marco del convenio de asociación No. 0010 del 2023 que tiene por Objeto “DESARROLLO CONJUNTO DE UN PROGRAMA DE CAPACITACIÓN DIRIGIDO A ORGANIZACIONES COMUNITARIAS PARA APOYAR LA GESTIÓN AMBIENTAL EN LA CONSERVACIÓN DE ECOSISTEMAS, GESTIÓN DEL RIESGO, ECOTURISMO Y SEGURIDAD ALIMENTARIA EN LOS MUNICIPIOS DE LURUACO, SABANALARGA Y PIOJÓ” se implementó un (1) proyecto productivo para la sostenibilidad alimentaria de las comunidades de pescadores y agricultores del municipio de Sabanalarga, cumpliendo de esta manera con el 100% de la meta programada.</t>
  </si>
  <si>
    <t>convenio 010</t>
  </si>
  <si>
    <t>PROYECTO No 3.2.3. COMUNICANDO Y DIFUNDIENDO EL CONOCIMIENTO AMBIENTAL SOBRE EL DEPARTAMENTO DEL ATLÁNTICO</t>
  </si>
  <si>
    <t>Número de estrategias de comunicación y cultura ciudadana sobre separación en la fuente desarrolladas</t>
  </si>
  <si>
    <t>Número de campañas de comunicación sobre gestión de cambio climático desarrolladas.</t>
  </si>
  <si>
    <t>En el marco del convenio No. 007 del 2023 celebrado con la Fundacion Alianza Tecnologica y Desarrollo Educativo - ALITIC  cuyo objeto es: “DESARROLLO CONJUNTO DE ESTRATEGIAS PARA PROMOVER LA TRANSFORMACIÓN CULTURAL Y LA PARTICIPACIÓN CIUDADANA EN EL DEPARTAMENTO DEL ATLÁNTICO, A TRAVÉS DE LA DIFUSIÓN DE CONOCIMIENTOS AMBIENTALES EN LA POBLACIÓN Y EL FORTALECIMIENTO DEL TEMA AMBIENTAL EN LOS PROCESOS DE EDUCACIÓN NO FORMAL” se dio cumplimiento al 100% de la meta programada para la presente vigencia.</t>
  </si>
  <si>
    <t>Número de jornadas de recolección de residuos posconsumo peligrosos, especiales y RAEE realizadas</t>
  </si>
  <si>
    <t>201~Residuos peligrosos generados per cápita, proporción de residuos peligrosos tratados y por tipo de tratamiento</t>
  </si>
  <si>
    <t>Número de proyectos virtuales implementados</t>
  </si>
  <si>
    <t xml:space="preserve">La implementación del proyecto virtual de educación ambiental se logró a través de la ejecución del convenio No. 007 del 2023 cuyo objeto es: “DESARROLLO CONJUNTO DE ESTRATEGIAS PARA PROMOVER LA TRANSFORMACIÓN CULTURAL Y LA PARTICIPACIÓN CIUDADANA EN EL DEPARTAMENTO DEL ATLÁNTICO, A TRAVÉS DE LA DIFUSIÓN DE CONOCIMIENTOS AMBIENTALES EN LA POBLACIÓN Y EL FORTALECIMIENTO DEL TEMA AMBIENTAL EN LOS PROCESOS DE EDUCACIÓN NO FORMAL”, celebrado con la Fundacion Alianza Tecnologica y Desarrollo Educativo – ALITIC, cumpliendo con el 100% de la meta programada para la vigencia.
En el marco del convenio se desarrolló el Primer Seminario de Fotografía Ambiental en la ciudad de Barranquilla. </t>
  </si>
  <si>
    <t>Número de escenarios realizados o apoyados.</t>
  </si>
  <si>
    <t>38~Grado en el que (i) la educación para la ciudadanía global y (ii) la educación para el desarrollo sostenible, incluida la igualdad de género y los derechos humanos, son integrados en todos los niveles en (a) las políticas nacionales de educación (b) los planes de estudio (c) la formación del profesorado y (d) evaluación de los alumnos</t>
  </si>
  <si>
    <t>Número de participación y asistencia a eventos nacionales y/o internacionales en educación ambiental</t>
  </si>
  <si>
    <t>PROYECTO No 3.2.4. PROMOCIONANDO LA PERSPECTIVA DE GÉNERO PARA EL DESARROLLO AMBIENTAL DEL DEPARTAMENTO DEL ATLÁNTICO.</t>
  </si>
  <si>
    <t>Número de proyectos con perspectivas de géneros</t>
  </si>
  <si>
    <t>Para dar cumplimiento total a la meta programada se celebró el convenio de asociación No. 0014 del 2023 cuyo objeto es: FORTALECIMIENTO DEL ETNOPLAN DE LOS CONSEJOS COMUNITARIOS AFRO DEL DEPARTAMENTO DEL ATLANTICO, MEDIANTE UNA LINEA TRANSVERSAL CON ENFOQUE ETNICOAMBIENTAL PARA LA CONSERVACION Y SALVAGUARDA DE SABERES Y PRÁCTICAS TRADICIONALES, a través del cual se desarrollan entre otras las siguientes actividades:
 	Se lleva a cabo un proceso de capacitación a 120 miembros (deberá estar conformado por lo menos con el 30% de mujeres) de los municipios de Manatí, Repelón, Luruaco, Palmar de Varela, Suan, Juan de Acosta, Piojo, y Santa Lucia.; el taller contará con una duración de 20 horas, dividido en 5 sesiones de 4 horas con cada uno de los 8 municipios anteriormente mencionados, para un total de 40 sesiones de trabajo.
 	Realización de una capacitación dirigida a mujeres (10 por municipio), en técnicas ancestrales gastronómicas de la comunidad NARP, que busque apoyar las iniciativas de mujeres afrocolombianas en pro de la reactivación económica, el fortalecimiento identitario y la conservación de saberes tradicionales (total de 18 horas) en 6 talleres de 3 horas cada uno.
 	Apoyo en el desarrollo de un encuentro de las comunidades NARP del Departamento, Encuentro de Autoridades Departamentales Afro, donde se socialicen las experiencias significativas en el proceso del buen vivir (Entnoplan), así como de las mujeres que fueron seleccionados en el marco del proyecto, para realizar una muestra gastronómica representativa. 
Con la ejecución de las actividades programadas en el marco del convenio la meta quedará cumplida al 100% antes de finalizar la presente vigencia.</t>
  </si>
  <si>
    <t>138~Porcentaje de países que cuentan con sistemas para dar seguimiento a la igualdad de género y el empoderamiento de la mujer y asignar fondos públicos para ese fin</t>
  </si>
  <si>
    <t>PROGRAMA No 3.3. LA DIVERSIDAD ETNOCULTURAL DEL DEPARTAMENTO DEL ATLÁNTICO COMO POTENCIAL ESTRATÉGICO PARA LA SOSTENIBILIDAD AMBIENTAL.</t>
  </si>
  <si>
    <t>PROYECTO 3.3.1. APRENDIENDO A CUIDAR EL AMBIENTE DE LA MANO DE NUESTRAS ETNIAS.</t>
  </si>
  <si>
    <t>Número de iniciativas apoyadas</t>
  </si>
  <si>
    <t>A través del convenio de asociación No. 0016 del 2023 cuyo objeto es: FORTALECIMIENTO DE LOS CONOCIMIENTOS, COSTUMBRES, SABERES Y PRÁCTICAS TRADICIONALES AMBIENTALES DE LAS COMUNIDADES INDÍGENAS Y RROM DEL DEPARTAMENTO DEL ATLÁNTICO, ASÍ COMO DE INICIATIVAS CON UN ENFOQUE DIFERENCIAL DE GÉNERO DE LAS MUJERES DENTRO DE SU COMUNIDAD ÉTNICA, se vienen desarrollando acciones que permitirán lograr el cumplimiento de la meta antes de finalizar la vigencia 2023.</t>
  </si>
  <si>
    <t>30~Gasto total (público y privado) per cápita dedicado a la preservación, protección y conservación de todo el patrimonio cultural y natural. por tipo de patrimonio (cultural, natural, mixto, designación del Centro del Patrimonio Mundial), nivel de gobierno (nacional, regional y local / municipal), el tipo de gastos: gastos de funcionamiento / de inversión y tipo de financiación privada (donaciones en especie, privado sector sin fines de lucro, patrocinio)</t>
  </si>
  <si>
    <t>Número de acciones implementadas</t>
  </si>
  <si>
    <t>A través del convenio de asociación No. 0016 del 2023 cuyo objeto es: FORTALECIMIENTO DE LOS CONOCIMIENTOS, COSTUMBRES, SABERES Y PRÁCTICAS TRADICIONALES AMBIENTALES DE LAS COMUNIDADES INDÍGENAS Y RROM DEL DEPARTAMENTO DEL ATLÁNTICO, ASÍ COMO DE INICIATIVAS CON UN ENFOQUE DIFERENCIAL DE GÉNERO DE LAS MUJERES DENTRO DE SU COMUNIDAD ÉTNICA, se implementan acciones que permitirán lograr el cumplimiento de la meta antes de finalizar la vigencia 2023.
En el marco del convenio mencionado se está desarrollando una capacitación dirigida a mujeres de las parcialidades indígenas de Galapa, Puerto Colombia, Malambo, Pital de Megua, Sibarco, Tubará, Baranoa y Rrom de Sabanalarga.; en técnicas ancestrales de la cultura indígena, que busque apoyar los emprendimientos de mujeres indígenas y Rrom en pro de la reactivación económica, el fortalecimiento identitario y la conservación de saberes tradicionales (total de 15 horas) en cinco (5) talleres de 3 horas cada uno.</t>
  </si>
  <si>
    <t>A través del convenio de asociación No. 0015 del 2023 cuyo objeto es: DESARROLLO DE PROGRAMA DE FORTALECIMIENTO DE NIÑOS, NIÑAS Y ADOLESCENTES DE LOS MUNICIPIOS DEL DEPARTAMENTO DEL ATLANTICO, COMO “PEQUEÑOS GUARDIANES ETNO – AMBIENTALES”, EN EL MARCO DE LA IDENTIDAD CULTURAL AFROCOLOMBIANA, se vienen desarrollando acciones que permitirán lograr el cumplimiento de la meta antes de finalizar la vigencia 2023.</t>
  </si>
  <si>
    <t>3.3.1.4. Apoyar iniciativas productivas con enfoque diferencial de las comunidades negras, afrocolombianas, raizales y palenqueras NARP del departamento articuladas al PAI de la Corporación CRA.</t>
  </si>
  <si>
    <t>Número de iniciativas productivas implementadas</t>
  </si>
  <si>
    <t>Con la Ejecución del convenio de asociación No. 0014 del 2023 cuyo objeto es: FORTALECIMIENTO DEL ETNOPLAN DE LOS CONSEJOS COMUNITARIOS AFRO DEL DEPARTAMENTO DEL ATLANTICO, MEDIANTE UNA LINEA TRANSVERSAL CON ENFOQUE ETNICOAMBIENTAL PARA LA CONSERVACION Y SALVAGUARDA DE SABERES Y PRACTICAS TRADICIONALES, se vienen desarrollando acciones que permitirán lograr el cumplimiento de la meta antes de finalizar la vigencia 2023.</t>
  </si>
  <si>
    <t>PROGRAMA No 3.4. PARTICIPACIÓN PARA EL SEGUIMIENTOS ODS MUNICIPALES DEL COMPENENTE AMBIENTAL</t>
  </si>
  <si>
    <t>PROYECTO No 3.4.1. IMPULSO A LA CREACIÓN Y ORGANIZACIÓN DE LOS COMITÉS MUNICIPALES DEL MEDIO AMBIENTE Y LOS GUARDIANES DEL MEDIO AMBIENTE (GUMA) EN EL DEPARTAMENTO</t>
  </si>
  <si>
    <t>3.4.1.1 (A) Crear los comités municipales de guardianes del medio ambiente -GUMA para apoyar la gestión ambiental de la CRA</t>
  </si>
  <si>
    <t>Números de comités municipales de medio ambiente</t>
  </si>
  <si>
    <t>No aplica</t>
  </si>
  <si>
    <t>3.4.1.1 (B) Crear los comités municipales de guardianes del medio ambiente -GUMA para apoyar la gestión ambiental de la CRA</t>
  </si>
  <si>
    <t>Porcentaje de guardianes ambientales GUMA organizados y apoyando la gestión ambiental de la CRA</t>
  </si>
  <si>
    <t xml:space="preserve">En el marco del convenio de asociación No.004 del 2023 cuyo objeto es: “AUNAR ESFUERZOS PARA EL DESARROLLO CONJUNTO DE UN PROGRAMA DE FORMACIÓN CIUDADANA, A TRAVÉS DE ACTORES COMUNITARIOS A DOTAR CON CAPACIDAD TÉCNICA PARA ORIENTAR LOS PROCESOS PARTICIPATIVOS EN TERRITORIOS”,  en alianza con la Corporación Univesidad Reformada – CUR, a través de la Escuela de Liderazgo Regional Ambiental, la C.R.A., se ejecutaron procesos de capacitación teórico prácticos que permiten mantener organizados y actualizados, los conocimientos de los guardianes ambientales – GUMA, organizados en vigencias anteriores dando cumplimiento al 100% de la meta programada. </t>
  </si>
  <si>
    <t>PROYECTO No 3.4.2. IMPLEMENTAR UN SISTEMA DE SEGUIMIENTO Y MONITOREO A ESCALA COMUNITARIA DE LOS OBJETIVOS DE DESARROLLO SOSTENIBLE-ODS EN EL DEPARTAMENTO DEL ATLÁNTICO</t>
  </si>
  <si>
    <t>3.4.2.1. Elaborar una matriz para realizar el seguimiento a los indicadores sociales, económicos y ambientales articulados a los ODS en los municipios del departamento del atlántico.</t>
  </si>
  <si>
    <t>Número de informes anuales de seguimiento a los ODS</t>
  </si>
  <si>
    <t xml:space="preserve">Teniendo en cuenta que, el informe de seguimiento a los ODS de los municipios del departamento del Atlántico es anual, el documento técnico respectivo se viene trabajando en el marco del convenio de asociación No.004 del 2023 cuyo objeto es: “AUNAR ESFUERZOS PARA EL DESARROLLO CONJUNTO DE UN PROGRAMA DE FORMACIÓN CIUDADANA, A TRAVÉS DE ACTORES COMUNITARIOS A DOTAR CON CAPACIDAD TÉCNICA PARA ORIENTAR LOS PROCESOS PARTICIPATIVOS EN TERRITORIOS”, celebrado con la Corporación Univesitaria Reformada – CUR. 
El informe se realiza con el soporte de encuestas aplicadas en los 22 municipios del departamento del Atlántico, teniendo los 5 ODS alcanzables en las comunidades, los cuales son:
•	Fin de la pobreza
•	Hambre cero
•	Salud y bienestar
•	Educación de calidad
•	Trabajo decente y crecimiento económico
Las encuestas se aplican a través del trabajo de campo llevado a cabo por los participantes en el diplomado que cursado en el marco del convenio, desarrollado con 30 jóvenes líderes de ONG´s Ambientales para el impulso de los ODS. </t>
  </si>
  <si>
    <t>LÍNEA ESTRATÉGICA No. 4. SOSTENIBILIDAD SECTORIAL</t>
  </si>
  <si>
    <t>PROGRAMA No 4.1. EQUIPAMIENTO SOSTENIBLES</t>
  </si>
  <si>
    <t>PROYECTO No 4.1.1. PRODUCCIÓN MÁS LIMPIA</t>
  </si>
  <si>
    <t>Número de convenios de Producción más Limpia implementados</t>
  </si>
  <si>
    <t>Con la ejecución del Convenio No. 005 del 2023 celebrado con la Corporación Universitaria Americana, cuyo objeto es “AUNAR ESFUERZOS PARA DESARROLLAR ACCIONES QUE PROMUEVAN LA CONSERVACIÓN DE LOS RECURSOS NATURALES EN EL DEPARTAMENTO DEL ATLÁNTICO, A TRAVES DE LA IDENTIFICACIÓN, CONSOLIDACIÓN Y FORTALECIMIENTO DE NEGOCIOS VERDES COMO ENFOQUE A LA ACTIVACIÓN DE LA ECONOMIA LOCAL CIRCULAR, LA AUTOGESTIÓN AMBIENTAL Y EL DESARROLLO DE PRACTICAS LIMPIAS PARA EL MEJORAMIENTO DEL SECTOR PRODUCTIVO”, se viene implementando el convenio de producción más limpia.
Mediante este convenio, se da apoyo a Instituciones educativas previamente seleccionadas ubicadas en los Municipios de Sabanalarga, Manatí y Usiacurí, en el Departamento del Atlántico.</t>
  </si>
  <si>
    <t>PROGRAMA No 4.2. POR UN DEPARTAMENTO CON ENERGÍAS RENOVABLES</t>
  </si>
  <si>
    <t>PROYECTO No 4.2.1. ENERGÍA DE BIOGÁS-BIOMASA</t>
  </si>
  <si>
    <t>Número de proyectos impulsados</t>
  </si>
  <si>
    <t>Con la ejecución del Convenio No. 005 del 2023 celebrado con la Corporación Universidad Americana, el cual tiene por Objeto “AUNAR ESFUERZOS PARA DESARROLLAR ACCIONES QUE PROMUEVAN LA CONSERVACIÓN DE LOS RECURSOS NATURALES EN EL DEPARTAMENTO DEL ATLÁNTICO, A TRAVÉS DE LA IDENTIFICACIÓN, CONSOLIDACIÓN Y FORTALECIMIENTO DE NEGOCIOS VERDES COMO ENFOQUE A LA ACTIVACIÓN DE LA ECONOMÍA LOCAL CIRCULAR, LA AUTOGESTIÓN AMBIENTAL Y EL DESARROLLO DE PRÁCTICAS LIMPIAS PARA EL MEJORAMIENTO DEL SECTOR PRODUCTIVO” Se da cumplimiento a la meta fijada para la presente vigencia.</t>
  </si>
  <si>
    <t>161~Proporción de la energía renovable en el consumo final total de energía</t>
  </si>
  <si>
    <t>PROYECTO No 4.2.2. ENERGÍA SOLAR</t>
  </si>
  <si>
    <t>Con la ejecución del convenio No. 0013 de 2023 cuyo objeto es: AUNAR ESFUERZOS TÉCNICOS, ADMINISTRATIVOS, JURÍDICOS Y FINANCIEROS PARA IMPULSAR PROYECTOS DE GENERACIÓN Y UTILIZACIÓN DE ENERGÍAS ALTERNATIVAS TENDIENTES A LA OPTIMIZACIÓN, RACIONALIZACIÓN Y SUSTITUCIÓN DE FUENTES DE ENERGÍA CONVENCIONAL, celebrado con la Fundación Internacional de Fomento para el Progreso de las Naciones – INTERPRON, se da cumplimiento al 100% de la meta programada para la vigencia 2023 de impulsar un proyecto de generación de Fuentes No Convencionales de Energía Renovable-FNCER.</t>
  </si>
  <si>
    <t>PROYECTO No 4.2.3. ENERGÍA EÓLICA</t>
  </si>
  <si>
    <t>4.2.3.1. Conocer el potencial de energía eólica en el Departamento del Atlántico</t>
  </si>
  <si>
    <t>Número de estudios de evaluación geoespacial</t>
  </si>
  <si>
    <t>PROGRAMA No 4.3. TERRITORIOS CON PLANIFICACIÓN AMBIENTAL</t>
  </si>
  <si>
    <t>PROYECTO No 4.3.1. INSTRUMENTOS DE PLANIFICACIÓN</t>
  </si>
  <si>
    <t>Número de municipios asesorados en la incorporación de las determinantes ambientales</t>
  </si>
  <si>
    <t>Con las actividades desarrolladas para asesorar a los municipios en los procesos de revisión de sus instrumentos de planificación del desarrollo físico territorial, podemos indicar que la meta programada para la vigencia 2023 tuvo cumplimiento del 100%.
Se asesoraron 23 Municipios de la jurisdicción de esta Corporación, incluyendo al Distrito de Barranquilla, en la inclusión del componente ambiental en los procesos de planificación y ordenamiento territorial, con énfasis en la incorporación de las determinantes ambientales.</t>
  </si>
  <si>
    <t>166~Proporción de la población que vive en ciudades que implementan planes de desarrollo urbano y regional integrando las proyecciones de población y las necesidades de recursos, por tamaño de la ciudad</t>
  </si>
  <si>
    <t>4.3.1.2. Construir el Plan de Gestión Regional. Ambiental - PGAR para la vigencia 2023-2032</t>
  </si>
  <si>
    <t>Número de documento elaborado</t>
  </si>
  <si>
    <t>PROYECTO No 4.3.2. ESQUEMAS DE PAGO POR SERVICIOS AMBIENTALES</t>
  </si>
  <si>
    <t>4.3.2.1. Asistir a los municipios en la implementación y seguimiento de esquemas de pago por servicios ambientales</t>
  </si>
  <si>
    <t>Número de entidades asesoradas</t>
  </si>
  <si>
    <t>Con las asesorías realizadas a las 24 entidades territoriales del departamento se dio cumplimiento al 100% de la meta programada para la vigencia 2023.
Cabe destacar el desarrollo de una jornada de asistencia técnica y jurídica llevada a cabo el día 22 de junio de 2023 a los 22 municipios, al distrito de Bquilla y al departamento en las instalaciones del Hotel Atrium en la ciudad de Barranquilla. En esta jornada se abordaron los temas:
•	Definición y normatividad aplicable a los PSA.
•	Metodología para la estimación del valor del incentivo de PSA.  
En la jornada se contó con la activa participación de delegados de los entes territoriales convocados.</t>
  </si>
  <si>
    <t>PROYECTO No 4.3.3. DETERMINANTES AMBIENTALES</t>
  </si>
  <si>
    <t>4.3.3.1. Ejecutar acciones orientadas a actualizar la información ambiental en el marco del ordenamiento ambiental y territorial que sirvan de insumo para la elaboración de los POT.</t>
  </si>
  <si>
    <t>Números de actualizaciones de determinantes ambientales actualizados</t>
  </si>
  <si>
    <t xml:space="preserve">La actualización de estudios y documentos técnicos producidos en temas de ordenamiento ambiental se viene realizando en el marco del contrato No. 0291 de 2023 cuyo objeto es “ELABORAR LOS ESTUDIOS TÉCNICOS PARA LA ACTUALIZACIÓN DE LA CARTOGRAFÍA DE SUSCEPTIBILIDAD DE AMENAZA Y CONOCIMIENTO DEL RIESGO, ASÍ COMO LA DEFINICIÓN DE LOS CORREDORES VIALES SUBURBANOS PARA EL ORDENAMIENTO TERRITORIAL DE LOS MUNICIPIOS DEL DEPARTAMENTO DEL ATLÁNTICO”, finalizando en la presente vigencia, dando cumplimiento al 100% de la meta. </t>
  </si>
  <si>
    <t>PROYECTO No 4.3.4. SALUD AMBIENTAL</t>
  </si>
  <si>
    <t>4.3.4.1. Ejecutar acciones orientadas a implementar la Política Integral del Salud Ambiental en la jurisdicción de la CRA</t>
  </si>
  <si>
    <t>Número de acciones de implementación</t>
  </si>
  <si>
    <t>PROGRAMA No 4.4. PREVENCIÓN, CONTROL Y MONITOREO DEL AIRE Y SUELO</t>
  </si>
  <si>
    <t>PROYECTO No 4.4.1. AIRE</t>
  </si>
  <si>
    <t>4.4.1.1. Realizar acciones tendientes a actualizar la situación de concentración de contaminantes criterio en la calidad del aire del Departamento del Atlántico</t>
  </si>
  <si>
    <t>Número de estaciones de calidad del aire en operación con reportes actualizado para el Sistema de Vigilancia de la Calidad del Aire aplicando el Protocolo para el Monitoreo y Seguimiento</t>
  </si>
  <si>
    <t>Para el cumplimiento de la meta programada en la presente vigencia, se suscribió el Convenio No. 009 del 2023 cuyo Objeto es: “AUNAR ESFUERZOS TÉCNICOS, ADMINISTRATIVOS, Y FINANCIEROS PARA DAR CONTINUIDAD AL DESARROLLO DE UN PROGRAMA DE FORTALECIMIENTO DE LA GESTIÓN AMBIENTAL SOSTENIBLE DE LOS RECURSOS NATURALES Y SECTORIALES, QUE CONTRIBUYA A LA CONSERVACIÓN DE LA BIODIVERSIDAD Y RIQUEZA DE LOS ECOSISTEMAS TERRESTRES Y MARINO COSTEROS DEL DEPARTAMENTO DEL ATLÁNTICO”, a través del cual se dará cumplimiento al 100% de la meta programada finalizando la presente vigencia.
En el marco del convenio se vienen desarrollando las siguientes actividades: 
•	Selección, conforme al diagnóstico de equipos de la red de calidad de aire de la Corporación Autónoma Regional del Atlántico, las estaciones a ser armadas para funcionamiento. 
•	Reparación y armado de equipos que conforman las estaciones seleccionadas.
•	Calibración y optimización de equipos que conforman las estaciones armadas con las partes reutilizadas.
•	Puesta en funcionamiento de equipos que conforman las estaciones seleccionadas.</t>
  </si>
  <si>
    <t>65~Niveles medios anuales de partículas finas (por ejemplo, PM2.5 y PM10) en las ciudades (ponderados según la población)</t>
  </si>
  <si>
    <t>4.4.1.2. Realizar un rediseño del sistema de vigilancia de la calidad del aire en el Departamento del Atlántico.</t>
  </si>
  <si>
    <t>Número de Sistema rediseñado</t>
  </si>
  <si>
    <t>4.4.1.3. Realizar informes mensuales para el Sistema de Calidad del Aire -SISAIRE (Resolución 651 de 29 de marzo de 2010).</t>
  </si>
  <si>
    <t>Número de informes mensuales el Subsistema de información de calidad del aire-SISAIRE realizados</t>
  </si>
  <si>
    <t>Desde la vigencia 2022 se logró el reporte en línea de los datos meteorológicos; en las estaciones PIMSA (Malambo), Tránsito (Malambo), Granabastos(Soledad), EDUMAS (Soledad), Alcaldía (Puerto Colombia) y Bomberos (PuertoColombia), a través de la plataforma SARA CLOUD: sin embargo, no se logró el reporte del informe SISAIRE debido a la ausencia de datos de parámetros de contaminantes atmosféricos objeto.</t>
  </si>
  <si>
    <t>4.4.1.4. Tramitar y obtener certificado de acreditación del Sistema de Vigilancia de la Calidad del Aire acreditado con NTC ISO 17025 por el IDEAM ( Par. 2 del artículo 2.2.8.9.1.5 del Decreto Único 1076 de 2015).</t>
  </si>
  <si>
    <t>Número de sistema de vigilancia de calidad de Aire acreditado</t>
  </si>
  <si>
    <t>4.4.1.5. Realizar evaluación, seguimiento y control ambiental de las emisiones atmosféricas en el Departamento.</t>
  </si>
  <si>
    <t>Porcentaje de seguimiento y evaluación de emisiones atmosféricas</t>
  </si>
  <si>
    <t>En ejercicio de las labores de evaluación, seguimiento y control ambiental desde la subdirección de Gestión ambiental se elaboró el plan anual de seguimiento para los usuarios del instrumento de control permiso emisiones atmosféricas. 
	Camagüey S.A 
	Postobón S.A
	Sociedad Portuaria Riverport S.A 
	Centralco Ltda- Parque Cementerio Los Olivos 
	Colmex Group Sas
	Concremovil S.A.S- Sede Galapa 
	Parques Y Funerarias S.A.S- Parque Cementerio Jardines De La Eternidad Norte 
	Polyuproyec S.A		
	Probusiness Internacional S.A.S.,		
	Productora De Alambres Colombianos (Proalco S.A.S)
En cuanto al proceso de evaluación se han recibido 16 solicitudes de permisos de emisiones; con tramite de inicio ambiental de nueve (9).
	Sociedad  C.I. Aridos De Las Llanos S.A.S
	Fundiciones De Lima S.A
	Agropecuaria San Fernando/ Agrosan
	Hydraulic Systems S.A.S
	Komatsu Colombia S.A.S
	Obras Especiales (Obresca C.A)
	Sociedad A&amp;T Soluciones Integrales S.A.S
	Ladrillera Sa
	Polyuprotec Sa 
	Tecnoglass
	Bavaria 
	Proalco
Con resolución de otorgamiento:
	Bavaria
	Komatsu
	Sociedad A&amp;T
	Proalco
	Ardios de los llanos
Se espera dar cumplimiento al 100% de la meta programada, finalizando la vigencia 2023.</t>
  </si>
  <si>
    <t>4.4.1.6. Estimar las emisiones de Gases de Efecto Invernadero (GEI) sectorial en el Departamento del Atlántico.</t>
  </si>
  <si>
    <t>Número de estudios técnicos de estimación de GEI</t>
  </si>
  <si>
    <t xml:space="preserve">La C.R.A. viene dando cumplimiento a la meta programada para la presente vigencia en el marco del Convenio No. 009 del 2023 cuyo Objeto es: “AUNAR ESFUERZOS TÉCNICOS, ADMINISTRATIVOS, Y FINANCIEROS PARA DAR CONTINUIDAD AL DESARROLLO DE UN PROGRAMA DE FORTALECIMIENTO DE LA GESTIÓN AMBIENTAL SOSTENIBLE DE LOS RECURSOS NATURALES Y SECTORIALES, QUE CONTRIBUYA A LA CONSERVACIÓN DE LA BIODIVERSIDAD Y RIQUEZA DE LOS ECOSISTEMAS TERRESTRES Y MARINO COSTEROS DEL DEPARTAMENTO DEL ATLÁNTICO”.
En el marco del convenio mencionado, se cuenta con el inventario de emisiones de los gases de efecto invernadero sectoriales (Energía, incluyendo Tránsito, AFOLU, industriales y residuos) del Departamento de Atlántico, priorizando las áreas industriales y agrícolas del departamento, con base en la metodología establecida por el Panel intergubernamental del cambio climático (IPCC), homologada para Colombia y alineada con el inventario nacional de gases de efecto invernadero de Colombia, se adelanta la construcción del informe con base en las visitas de campo realizadas, solicitud de información a entidades públicas y privadas,  y consolidación de la información. </t>
  </si>
  <si>
    <t>88~Número de países que han comunicado el establecimiento o la puesta en funcionamiento de una estrategia/plan/política integrada que aumenta su capacidad para adaptarse a los efectos adversos del cambio climático y fomenta la resiliencia al cambio climático de bajas emisiones de gases efecto invernadero de una manera que no amenace la producción de comida (incluyendo un plan nacional de adaptación, contribución determinada a nivel nacional, comunicación nacional, informe bienal de actualización, u otros) .</t>
  </si>
  <si>
    <t>4.4.1.7. Elaborar el Inventario de emisiones atmosféricas aplicando la Guía para la elaboración de Inventario de Emisiones Atmosféricas</t>
  </si>
  <si>
    <t>Número de documentos técnicos elaborados</t>
  </si>
  <si>
    <t>PROYECTO No 4.4.2. OLORES</t>
  </si>
  <si>
    <t>4.4.2.1. Controlar las actividades productoras de olores ofensivos en el Departamento</t>
  </si>
  <si>
    <t>Número de operativos de actividades generadoras de olores ofensivos realizados por año</t>
  </si>
  <si>
    <t>En lo corrido del 2023 se han llevado a cabo dos (2) operativos para la problemática de Olores ofensivos dando cumplimiento a la meta programada para la presente vigencia: 
	DISTRIBUIDORAS INVERSIONES E INGENIERIA SAS (Informe técnico 104 y auto 245 del 2023)
	Camaguey S.A</t>
  </si>
  <si>
    <t>PROYECTO No 4.4.3. RUIDO</t>
  </si>
  <si>
    <t>Se viene dando cumplimiento a la meta programada para la presente vigencia a través del Convenio No. 009 del 2023 cuyo Objeto es: “AUNAR ESFUERZOS TÉCNICOS, ADMINISTRATIVOS, Y FINANCIEROS PARA DAR CONTINUIDAD AL DESARROLLO DE UN PROGRAMA DE FORTALECIMIENTO DE LA GESTIÓN AMBIENTAL SOSTENIBLE DE LOS RECURSOS NATURALES Y SECTORIALES, QUE CONTRIBUYA A LA CONSERVACIÓN DE LA BIODIVERSIDAD Y RIQUEZA DE LOS ECOSISTEMAS TERRESTRES Y MARINO COSTEROS DEL DEPARTAMENTO DEL ATLÁNTICO”.
En ejecución de esta actividad se vinculó a la firma CONTROL DE LA CONTAMINACIÓN LTDA, para la elaboración del mapa de ruido Diurno y Nocturno actualizado en el Municipio de Baranoa. 
Se realizaron visita de campo con la finalidad de identificar los puntos de interés y mayor generación de ruido (Plaza principal, Bares, sector comercial). Se hizo entrega del informe preliminar “PLAN PARA LA ACTUALIZACIÓN DEL MAPA DE RUIDO DIURNO Y NOCTURNO EN EL MUNICIPIO DE BARANOA, PRIORIZADO DEL DEPARTAMENTO DEL ATLÁNTICO”. Se seleccionaron de cincuenta (50) a sesenta (60) puntos de interés para medición de ruido, que serán aforados para la generación del mapa de ruido del Municipio y posterior Plan de Descontaminación de Ruido.</t>
  </si>
  <si>
    <t>4.4.3.2. Promover la adecuada gestión ambiental de las actividades generadoras de emisiones de ruido en el Departamento del Atlántico</t>
  </si>
  <si>
    <t>Porcentaje de quejas atendidas</t>
  </si>
  <si>
    <t>En ejercicio de las labores de control y seguimiento ambiental en la vigencia 2023 se recibieron setenta y cinco (75) quejas asociada a las problemáticas por contaminación sonora en el departamento del Atlántico. Así mismo se logro la atención de treinta y cinco en respuesta oportuna a nuestros usuarios.</t>
  </si>
  <si>
    <t>4.4.3.3. (A) Proporcionar apoyo técnico a los municipios del Departamento del Atlántico en las mediciones de emisión de ruido</t>
  </si>
  <si>
    <t>Número de equipos adquiridos</t>
  </si>
  <si>
    <t>4.4.3.3. (B) Proporcionar apoyo técnico a los municipios del Departamento del Atlántico en las mediciones de emisión de ruido</t>
  </si>
  <si>
    <t>Número de equipos calibrados</t>
  </si>
  <si>
    <t xml:space="preserve">Actualmente la Corporación Autónoma Regional del Atlántico cuenta con tres (3) equipos para la medición de ruidos, de los cuales dos (2) de éstos fueron calibrados el año anterior y uno (1) fue adquirido en la vigencia 2022.
Teniendo en cuenta que, la calibración se realiza cada año y medio, para el presente año sigue estando vigente la calibración de los equipos existentes. </t>
  </si>
  <si>
    <t>PROYECTO No 4.4.4. RESIDUOS Y ECONOMÍA CIRCULAR</t>
  </si>
  <si>
    <t>4.4.4.1. Fomentar el aprovechamiento local del plástico y otros materiales reciclables en los municipios costeros del Departamento del Atlántico</t>
  </si>
  <si>
    <t>Se da cumplimiento a la meta con la ejecución del Convenio No. 005 de 2023, celebrado con la Corporación Universidad Americana cuyo objeto es: “AUNAR ESFUERZOS PARA DESARROLLAR ACCIONES QUE PROMUEVAN LA CONSERVACIÓN DE LOS RECURSOS NATURALES EN EL DEPARTAMENTO DEL ATLÁNTICO, A TRAVÉS DE LA IDENTIFICACIÓN, CONSOLIDACIÓN Y FORTALECIMIENTO DE NEGOCIOS VERDES COMO ENFOQUE A LA ACTIVACIÓN DE LA ECONOMÍA LOCAL CIRCULAR, LA AUTOGESTIÓN AMBIENTAL Y EL DESARROLLO DE PRÁCTICAS LIMPIAS PARA EL MEJORAMIENTO DEL SECTOR PRODUCTIVO”. 
A través del convenio anterior se desarrollan las actividades necesarias para implementar dos proyectos para el aprovechamiento local de plásticos y otros materiales reciclables en los Municipios de Piojó y Tubará con las comunidades previamente seleccionadas.</t>
  </si>
  <si>
    <t>222~Tasa nacional de reciclado, toneladas de material reciclado</t>
  </si>
  <si>
    <t>4.4.4.2. Realizar seguimiento a la implementación del PGIRS municipios de la jurisdicción de la CRA.</t>
  </si>
  <si>
    <t xml:space="preserve"> Número de municipios con seguimiento de los PGIRS</t>
  </si>
  <si>
    <t>Durante la vigencia se han ejecutado 16 visitas de seguimiento a los PGIRS de los Municipios de:
1.	Baranoa                  
2.	Campo de la Cruz
3.	Candelaria
4.	Juan de Acosta
5.	Malambo
6.	Manatí
7.	Palmar de varela
8.	Piojo 
9.	Polonuevo 
10.	Ponedera
11.	Sabanagrande
12.	Sabanalarga
13.	Santo Tomas
14.	Soledad
15.	Suan
16.	Usiacurí 
Se espera realizar seguimiento en la Implementación del PGIRS a la totalidad de los municipios de departamento antes de finalizar la vigencia 2023.</t>
  </si>
  <si>
    <t>141~Porcentaje de residuos sólidos urbanos recolectados periódicamente con descarga final adecuada con respecto al total de los desechos generados por la ciudad</t>
  </si>
  <si>
    <t>4.4.4.3. Realizar seguimiento a la implementación del Plan de Gestión de Residuos Peligrosos de los municipios de la jurisdicción de la CRA.</t>
  </si>
  <si>
    <t>Porcentaje de seguimiento en la implementación del PGRESPEL del Departamento</t>
  </si>
  <si>
    <t>Durante la vigencia 2023 se identificaron las actividades contenidas en el documento que en el largo plazo se desarrollarán para la implementación de PGRESPEL en el departamento dando cumplimiento al 100% de la meta programada.
Las actividades cumplidas a la fecha corresponden a:
•	Promoción de la recolección selectiva y devolución de productos posconsumo a nivel industrial y doméstico.
•	Adopción e implementación de los instrumentos de gestión de RESPEL.
•	Capacitación y divulgación a funcionarios de la C.R.A para el adecuado seguimiento y control de la gestión integral de los RESPEL.
•	Articulación entre generadores, gestores y entidades (Empresas de servicios públicos, Alcaldías municipales y organizaciones de la sociedad civil) relacionadas con la gestión integral de los RESPEL.
•	Promoción y capacitación a generadores y gestores sobre su participación en la gestión integral de los RESPEL.
•	Divulgación y sensibilización sobre la gestión de residuos peligrosos en el área de jurisdicción de la C.R.A.  
•	Creación y operación de la ventanilla ambiental.
•	Seguimiento y control al registro de generadores de residuos peligrosos en las diferentes plataformas existentes.
•	Mejoramiento de la gestión documental de los expedientes de generadores y gestores RESPEL.
•	Seguimiento y control a los generadores del sector industrial, estaciones de servicio de combustible, entidades de salud y otros.
•	Seguimiento y control a los gestores de RESPEL en coordinación con las autoridades ambientales involucradas con la gestión externa.</t>
  </si>
  <si>
    <t>4.4.4.4. Actualizar el registro y reporte de usuarios generadores de RESPEL</t>
  </si>
  <si>
    <t>Porcentaje de registros y reportes actualizados</t>
  </si>
  <si>
    <t>El registro de generadores de residuos y desechos peligrosos en el 2023 se ha mantenido actualizado al 100% durante la vigencia. 
Se registra una atención de ciento vientres (123) solicitudes para los conceptos de:
	Solicitud Inscripción Plataforma.
	Actualización contraseña.
	Actualización datos usuario y/o representante legal.
	Traslado por competencia.</t>
  </si>
  <si>
    <t>4.4.4.5. Crear una Agenda Departamental de Economía Circular: materiales industriales y productos de uso masivo (RAEE, RESPEL, llantas usadas), Materiales de envases y empaques; Flujos de Biomasa, Flujos de Agua, Fuentes y flujos de energía, materiales de construcción.</t>
  </si>
  <si>
    <t>Número de agendas de economía circular elaboradas</t>
  </si>
  <si>
    <t>4.4.4.6. Ejecutar proyectos en el marco de la Agenda Departamental de Economía</t>
  </si>
  <si>
    <t>Número de proyectos de economía circular ejecutados</t>
  </si>
  <si>
    <t>PROGRAMA No 4.5. INSTRUMENTOS ECONÓMICOS Y DE CONTROL AMBIENTAL</t>
  </si>
  <si>
    <t>PROYECTO No 4.5.1. EVALUACIÓN, SEGUIMIENTO Y CONTROL AMBIENTAL</t>
  </si>
  <si>
    <t>4.5.1.1. Promover la eficiencia en la evaluación, seguimiento y control de trámites ambientales</t>
  </si>
  <si>
    <t>Porcentaje de trámites atendidos para la evaluación, seguimiento y resolución de autorizaciones ambientales otorgadas por la corporación, con cumplimiento de los términos otorgados por la Ley</t>
  </si>
  <si>
    <t>En la vigencia 2023 se ha venido atendiendo el 100% de los trámites ambientales.
Se han recibido 281 solicitudes de autorizaciones y permisos</t>
  </si>
  <si>
    <t>4.5.1.2. Atender oportuna y eficazmente las quejas ambientales y procesos sancionatorios</t>
  </si>
  <si>
    <t>Porcentaje de quejas y procesos sancionatorios resueltos</t>
  </si>
  <si>
    <t>En la vigencia  2023, en ejercicio de sus funciones, la Corporación dio atención a doscientas veintitrés  (223) quejas y/o denuncias de carácter ambiental de cuatrocientas ochenta y cuatro (484) recibidas.
En lo referente a los procesos sancionatorios actualmente se adelanta la actualización de la base de datos y procesos asociados. La vigencia 2023 inicia con un total de cuatrocientos doce (412) procesos sancionatorios, resueltos cuatro (4) y con cesación seis (6).</t>
  </si>
  <si>
    <t>4.5.1.3. Realizar seguimiento a medidas de compensación</t>
  </si>
  <si>
    <t>Porcentaje de autorizaciones ambientales con seguimiento.</t>
  </si>
  <si>
    <t>Para la vigencia 2023, la entidad programó el seguimiento de 233 instrumentos de control ambiental. Sobre éstos se priorizaron 70 instrumentos otorgados a los sectores económicos (residuos, infraestructura, salud; minería, energético) a la fecha se ha efectuado veintidós (22) visitas de seguimiento ambiental con el fin de verificar la efectividad de la implementación de las medidas de compensación establecidas.</t>
  </si>
  <si>
    <t>4.5.1.4. Promover instrumentos de formalización minera para identificar actividades ilegales en los Sectores productivos de alto impacto</t>
  </si>
  <si>
    <t>4.5.1.5. Promover instrumentos de formalización minera para identificar y monitorear actividades ilegales en los Sectores productivos de alto impacto</t>
  </si>
  <si>
    <t>Porcentaje de usuarios ilegales identificados con procesos de formalización de la actividad minera</t>
  </si>
  <si>
    <t>4.5.1.6. Atender oportuna y eficazmente las quejas ambientales</t>
  </si>
  <si>
    <t>Porcentaje de quejas y de seguimiento a la red amigos de la fauna</t>
  </si>
  <si>
    <t>En la vigencia 2023, la Corporación, en apoyo del Grupo de reacción inmediata- CRIA ha realizado seguimiento a 2 establecimientos que pertenecen a la RED AMIGO DE LA FAUNA, para darle cumplimiento a las directrices establecidas en la Resolución 2064 de 2010:
	Sociedad Jupales anteriormente Fundación Atlántida, Finca SUVA.
	Solar de MAO.
	Hacienda Suva
Se evaluó la solicitud de Cabe FUNDACION PARA EL DESARROLLO SOCIAL TURISTICO Y CULTURAL DON TITO para la red amigos de la fauna.</t>
  </si>
  <si>
    <t>4.5.1.7. Controlar el tráfico ilegal de especies de Fauna y Flora en el Atlántico</t>
  </si>
  <si>
    <t xml:space="preserve">Porcentaje de denuncias atendidas </t>
  </si>
  <si>
    <t>En la vigencia 2023 y en ejercicio de las labores de control y vigilancia se recibieron un total de cuarenta y dos (42) denuncias asociadas al trafico ilegal de flora y fauna en el departamento del Atlántico.</t>
  </si>
  <si>
    <t>174~Proporción de la vida silvestre que fue cazado furtivamente u objeto de tráfico ilícito</t>
  </si>
  <si>
    <t>4.5.1.8 Atender oportuna y eficazmente las quejas ambientales</t>
  </si>
  <si>
    <t>Número de CAVF implementado</t>
  </si>
  <si>
    <t>PROYECTO No 4.5.2. INSTRUMENTOS ECONÓMICOS</t>
  </si>
  <si>
    <t>4.5.2.1. Implementar instrumentos económicos dependiendo de la actividad y su afectación al ambiente</t>
  </si>
  <si>
    <t>Número de bases de datos elaboradas</t>
  </si>
  <si>
    <t>PROGRAMA No 4.6. COMUNIDADES Y TERRITORIOS CON CONOCIMIENTO Y ADAPTACIÓN A LA GESTIÓN DEL RIESGO</t>
  </si>
  <si>
    <t>PROYECTO No 4.6.1. CONOCIMIENTO Y ADAPTACIÓN A LA GESTIÓN DEL RIESGO</t>
  </si>
  <si>
    <t>4.6.1.1. Elaborar estudios técnicos para el conocimiento y reducción del riesgo e incorporación de la gestión del riesgo en el ordenamiento territorial de los municipios</t>
  </si>
  <si>
    <t>Número de mapas de riesgo elaborados</t>
  </si>
  <si>
    <t>Para garantizar el cumplimiento de la meta programada en la vigencia, la C.R.A., en el marco del contrato No. 0291 de 2023 cuyo objeto es ELABORAR LOS ESTUDIOS TÉCNICOS PARA LA ACTUALIZACIÓN DE LA CARTOGRAFÍA DE SUSCEPTIBILIDAD DE AMENAZA Y CONOCIMIENTO DEL RIESGO, ASÍ COMO LA DEFINICIÓN DE LOS CORREDORES VIALES SUBURBANOS PARA EL ORDENAMIENTO TERRITORIAL DE LOS MUNICIPIOS DEL DEPARTAMENTO DEL ATLÁNTICO viene elaborando cuatro (4) mapas de riesgos de inundación, remoción en masa y avenidas torrenciales a escala 1:5.000 para el centro poblado principal de Juan de Acosta.</t>
  </si>
  <si>
    <t>4.6.1.2. Actualizar estudios técnicos para el conocimiento y reducción del riesgo elaborados e incorporación de la gestión del riesgo en el ordenamiento territorial de los municipios</t>
  </si>
  <si>
    <t>Número de mapas de amenazas actualizados</t>
  </si>
  <si>
    <t>Para dar cumplimiento a la meta programada, adicional a la asistencia técnica brindada a los municipios, la C.R.A., en el marco del contrato No. 0291 de 2023 cuyo objeto es ELABORAR LOS ESTUDIOS TÉCNICOS PARA LA ACTUALIZACIÓN DE LA CARTOGRAFÍA DE SUSCEPTIBILIDAD DE AMENAZA Y CONOCIMIENTO DEL RIESGO, ASÍ COMO LA DEFINICIÓN DE LOS CORREDORES VIALES SUBURBANOS PARA EL ORDENAMIENTO TERRITORIAL DE LOS MUNICIPIOS DEL DEPARTAMENTO DEL ATLÁNTICO viene actualizando 15 mapas que incluyen la susceptibilidad de amenaza y riesgo para los municipios de Luruaco y Juan de Acosta.</t>
  </si>
  <si>
    <t>Porcentaje de municipios asesorados anualmente</t>
  </si>
  <si>
    <t xml:space="preserve">Durante la vigencia 2023 se dio cumplimiento al 100% de la meta a través del acompañamiento a la totalidad de municipios de la jurisdicción de la entidad. </t>
  </si>
  <si>
    <t>4.6.1.4. Brindar acompañamiento y asistencia a las entidades territoriales del Departamento del Atlántico, susceptibles de amenazas por incendios de cobertura vegetal</t>
  </si>
  <si>
    <t>Número de municipios asistidos</t>
  </si>
  <si>
    <t>La Corporación viene realizando las asesorías y seguimiento a los planes Municipales y Departamental de Gestión del Riesgo, en relación con las acciones para enfrentar las amenazas por incendios de cobertura vegetal dando cumplimiento al 100% de la meta programada para la presente vigencia.
Además, para contribuir al cumplimiento de la misma, se celebró el convenio No. 0010 del 2023 que tiene por Objeto “DESARROLLO CONJUNTO DE UN PROGRAMA DE CAPACITACIÓN DIRIGIDO A ORGANIZACIONES COMUNITARIAS PARA APOYAR LA GESTIÓN AMBIENTAL EN LA CONSERVACIÓN DE ECOSISTEMAS, GESTIÓN DEL RIESGO, ECOTURISMO Y SEGURIDAD ALIMENTARIA EN LOS MUNICIPIOS DE LURUACO, SABANALARGA Y PIOJÓ”.</t>
  </si>
  <si>
    <t>PROGRAMA No 4.7. COMUNIDADES Y TERRITORIOS CON CONOCIMIENTO Y ADAPTACIÓN CAMBIO CLIMÁTICO</t>
  </si>
  <si>
    <t>PROYECTO No 4.7.1. CONOCIMIENTO Y ADAPTACIÓN AL CAMBIO CLIMÁTICO</t>
  </si>
  <si>
    <t>4.7.1.1. Formular e implementar intervenciones locales orientadas a reducir la vulnerabilidad y el aumento de la resiliencia a la variabilidad y al cambio climático, en articulación con la Política Nacional de Cambio Climático y el PGICCTA del Departamento del Atlántico.</t>
  </si>
  <si>
    <t>Número de proyectos para ejecutar acciones para la mitigación y adaptación</t>
  </si>
  <si>
    <t xml:space="preserve">Con la ejecución del contrato No. 251 del 2023 que tiene por objeto: “REALIZAR LA CONSTRUCCIÓN DE LA CANALIZACIÓN PARA LA RECUPERACIÓN AMBIENTAL DEL ARROYO PLATANAL, UBICADO EN EL MUNICIPIO DE SOLEDAD, DEPARTAMENTO DEL ATLÁNTICO”, celebrado con el Consorcio canalización el Platanal 2023 se da cumplimiento a la meta de implementar un proyecto de mitigación y adaptación. 
El proyecto se ejecuta como una estrategia para garantizar la gestión del riesgo de desastres naturales por inundación, uso eficiente del recurso hídrico y la preservación de los ecosistemas en jurisdicción del municipio de Soledad, considerando que la prevención y mitigación de inundaciones en el área de influencia del arroyo Platanal permite el desarrollo económico y social del municipio.
Con la ejecución del proyecto se busca el mejoramiento de la capacidad hidráulica del arroyo Platanal mediante la ejecución de obras de prevención, mitigación y estabilización de su cauce, recuperando ambientalmente las áreas identificadas en los estudios y diseños desarrollados por el Municipio, garantizando a la población la protección tanto de su vida y seguridad física como de sus viviendas. </t>
  </si>
  <si>
    <t>LÍNEA ESTRATÉGICA No. 5. SOSTENIBILIDAD INSTITUCIONAL</t>
  </si>
  <si>
    <t>PROGRAMA No 5.1. GESTIÓN HUMANA (PERSONAL COMPETENTE PARA LA SOSTENIBILIDAD AMBIENTAL EN EL DEPARTAMENTO)</t>
  </si>
  <si>
    <t>PROYECTO No 5.1.1. BIENESTAR SOCIAL</t>
  </si>
  <si>
    <t>5.1.1.1. Realizar un estudio para el fortalecimiento Institucional de la Entidad encaminado a la ampliación de la planta de personal y la creación de nuevos cargos.</t>
  </si>
  <si>
    <t>Numero de estudios realizados</t>
  </si>
  <si>
    <t>5.1.1.2. Garantizar la libre asociación de los funcionarios de la Entidad</t>
  </si>
  <si>
    <t>Numero de actividades desarrolladas por el grupo de funcionarios que pertenecen al sindicato/actividades planeadas</t>
  </si>
  <si>
    <t>En lo corrido de la vigencia 2023, se entregaron cinco (5) permisos sindicales para garantizar las reuniones de sus miembros en el marco de su derecho a la libre asociación de los trabajadores dando cumplimiento a la meta programada para la vigencia 2023.</t>
  </si>
  <si>
    <t>6~Aumento en el cumplimiento nacional de los derechos laborales (libertad de asociación y negociación colectiva) sobre la base de fuentes textuales de la OIT y la legislación nacional, por sexo y la condición de migrante</t>
  </si>
  <si>
    <t>5.1.1.3. Elaborar y ejecutar el programa de capacitación y bienestar social de la Entidad para fortalecer los conocimientos, habilidades y destrezas de los funcionarios de la Corporación teniendo en cuenta los tres ejes del Plan Nacional de Formación y Capacitación: Gobernanza para la paz, Gestión del conocimiento, Creación del valor público</t>
  </si>
  <si>
    <t>Porcentaje de Funcionarios de planta capacitados</t>
  </si>
  <si>
    <t>A través del Contrato No.265 de 2023, cuyo objeto es: “PRESTAR SERVICIOS PROFESIONALES Y DE APOYO A LA GESTIÓN EN EL DESARROLLO DEL PROGRAMA DE CAPACITACIÓN, FORMACIÓN Y ACTUALIZACIÓN EN LOS CONOCIMIENTOS TÉCNICOS Y EL DESARROLLO DE HABILIDADES Y COMPETENCIAS DE LOS OBJETIVOS MISIONALES Y ADMINISTRATIVOS DE LA ENTIDAD”, celebrado con el Instituto Colombiano de Normas Tecnicas Certificacion - ICONTEC se viene dando cumplimiento al 100% de la meta de ejecutar anualmente el Plan de Capacitación y Bienestar Social elaborado y ejecutado año a año. (90%).</t>
  </si>
  <si>
    <t>164~Proporción de la población que se siente satisfecha con su última experiencia de los servicios públicos</t>
  </si>
  <si>
    <t>5.1.1.4. Otorgar auxilios de tipo educativo y otros, a funcionarios que cumplen ciertos requisitos.</t>
  </si>
  <si>
    <t>Número de auxilios</t>
  </si>
  <si>
    <t>Durante la vigencia 2023 el programa de apoyo a la educación formal de funcionarios y su núcleo familiar, ha otorgado un total de total treinta y siete (37) estímulos educativos superando ampliamente el 100% de la meta programada. 
Los estímulos fueron otorgados para que cursaran estudios a nivel de pregrado, postgrado, educación preescolar, primaria y secundaria como se relaciona a continuación:
	9 estímulos educativos otorgados a funcionarios para estudios de nivel superior.
	17 estímulos educativos otorgados a funcionarios para los estudios de su núcleo familiar.
Al respecto es preciso dar claridad que,el número de auxilios de funcionarios o beneficiarios de su nucleo familiar se otorga de acuerdo con la modalidad de estudios (semestrales o anuales)
Como evidencia del cumplimiento de la meta se presenta la relación de las Resoluciones a traves de las cuales se otorgaron los auxilios educativos a funcionarios y a su núcleo familiar.</t>
  </si>
  <si>
    <t>110~Porcentaje de jóvenes y adultos con conocimientos de tecnología de la información y las comunicaciones (TIC) por tipo de conocimiento técnico</t>
  </si>
  <si>
    <t>PROGRAMA No 5.2. SEGURIDAD Y SALUD EN EL TRABAJO</t>
  </si>
  <si>
    <t>PROYECTO No 5.2.1. SG-SST</t>
  </si>
  <si>
    <t>5.2.1.1. Mantener calificación superior a 90 sobre 100 en la continuidad y mejoramiento del SG-SST (Resolución 312 de 2019 y el decreto 1072 de 2015)</t>
  </si>
  <si>
    <t>Número de Informes (anuales)</t>
  </si>
  <si>
    <t>Considerando la línea base de cumplimiento de estandares minimos de nuestros SG-SST certificado, en la presente vigencia, la meta se encuentra con un cumplimiento del 100%. 
El avance esta representado en el desarrollo de todas las actividades del plan de trabajo anual asociadas a estándares mínimos, conforme la Resolución 0312 de 2019.
Esta meta cierra en la última semana de diciembre de 2023, con el reporte de la autoevaluación de estándares mínimos ante el MINTRABAJO, conforme la disposición legal que así lo exige.
Dentro de las acciones ejecutadas se destaca la realización de la Jornada de Integración, Salud y Bienestar CRA 2023, POR UNA SALUD SOSTENIBLE. 
La Jornada se llevó a cabo el día 14 de junio de 2023, como una estrategia mediante la cual se da cobertura a todos los colaboradores de la Entidad sin importar su modalidad de contratación. La misma estuvo encaminada a promover la cultura de prevención y autocuidado mediante actividades que estimulan el cuidado integral de la seguridad y la salud física y psicológica de la población trabajadora, así como la convivencia pacifica y armónica de la población trabajadora de la Corporación.</t>
  </si>
  <si>
    <t>224~Tasas de frecuencia de lesiones ocupacionales mortales y no mortales, por sexo y situación migratoria</t>
  </si>
  <si>
    <t>5.2.1.2. Realizar diagnostico del perfil sociodemográfico y de las condiciones de salud de los trabajadores</t>
  </si>
  <si>
    <t>Número de Documentos</t>
  </si>
  <si>
    <t>Esta meta se encuentra cumplida al 100%, dado que la entidad cuenta con un perfil sociodemográfico e informe de condiciones de salud de sus trabajadores vigente, conforme a lo establecido en el Decreto 1072 de 2015. 
Así mismo a 31 de octubre de 2023, se realizó la actualización para la vigencia 2023, la cual es producto de la finalización del proceso de realización de exámenes médicos ocupacionales fase I, a partir de la cual, se genera el nuevo informe de condiciones de salud y perfil sociodemográfico. 
Dichas acciones ejecutadas, obedecen al cumplimiento de las obligaciones establecidas en el Contrato No. 0240 de 2023, cuyo objeto es: “REALIZAR LOS EXAMENES MEDICOS OCUPACIONALES DE INGRESO, CONTROL PERIODICO, POR CAMBIO DE OCUPACIÓN, POST INCAPACIDAD, DE RETIRO, LOS EXAMENES COMPLEMENTARIOS, SEGUIMIENTOS INDIVIDUALIZADOS POR MEDICINA LABORAL, INFORME DE CONDICIONES DE SALUD Y DEMÁS INFORMES ASOCIADOS, PARA LOS TRABAJADORES DE LA CORPORACIÓN AUTONOMA REGIONAL DEL ATLÁNTICO”.
Las evidencias de su realización constan en la información documentada del SG-SST, en el sistema de la IPS contratada como garante de la historia clínica, con base en los conceptos médico laborales individuales, emitidos por la IPS antes de la finalización del contrato. 
Asimismo, se convervan evidencias de material audiovisual registrado por el área de comunicaciones (videos y fotos de la jornada).</t>
  </si>
  <si>
    <t>5.2.1.3. Realizar informes de ejecución de las actividades de medicina preventiva y del trabajo, promoción y prevención y programas de vigilancia epidemiológica</t>
  </si>
  <si>
    <t>Número de Informes de ejecución de actividades</t>
  </si>
  <si>
    <t>La Corporación cuenta con un informe de ejecución de actividades de medicina preventiva desarrolladas en la vigencia.
	Gestión eficiente de las emociones
	Café Con-sentido
	Talleres de Estilos de Vida saludables.</t>
  </si>
  <si>
    <t>145
198
248</t>
  </si>
  <si>
    <t>5.2.1.4. Realizar reportes periódicos sobre la práctica de exámenes médicos ocupacionales de ingreso, control periódico y retiro de todos los trabajadores y de control periódico para los colaboradores con contratos iguales o superiores a seis meses</t>
  </si>
  <si>
    <t>No. de reportes de Información</t>
  </si>
  <si>
    <t xml:space="preserve">La corporación mantiene un informe detallado de la práctica de exámenes médicos ocupacionales de ingreso, control periódico y retiro para los colaboradores con contratos superiores o iguales a seis meses dando cumplimiento al 100% de la meta programada.
Se han realizado 32 exámenes médicos ocupacionales, de los cuales 31 fueron de ingreso a funcionarios y uno de retiro a una funcionaria, que corresponden al total de funcionarios que han ingresado  y se han retirado de la Corporación durante este periodo.
Por parte de los contratistas, por disposición legal, se ha garantizado la realización y presentación de exámenes médicos ocupacionales de ingreso, conforme al Profesiograma. Con un total de 226 exámenes de ingreso realizados a la fecha de corte del presente informe. 
Se materializó la contratación de la IPS responsable de la realización de los exámenes médicos ocupacionales periódicos, de ingreso y retiro conforme a necesidades del servicio, a través del Contrato No. 0240 de 2023, previamente refenciado. Este proceso se dividió en dos fases: fase I del 17 al 20 de octubre de 2023 y la fase II del 7 al 14 de noviembre de 2023, dando cubrimiento a todos los funcionarios y contratistas vigentes de la Entidad. 
Los insumos arrojados como resultado del cumplimiento de esta meta son la base para la planificación de la vigencia 2024 en materia de medicina preventiva y del trabajo. </t>
  </si>
  <si>
    <t>5.2.1.5. Realizar reportes anuales sobre los funcionarios y trabajadores en misión, los elementos de protección personal y colectiva que se requieren para el desarrollo de una labor segura y los elementos de protección frente a brotes pandémicos generadores de emergencias económicas, sociales y ecológicas</t>
  </si>
  <si>
    <t>No. de reportes anuales</t>
  </si>
  <si>
    <t>La Corporación ha continuado cumpliendo con la reposición de los elementos de protección personal que han sido requeridos por sus colaboradores y así mismo con la entrega de dichos elementos, conforme a los riesgos a los cuales se encuentran expuestos, tanto para los funcionarios antiguos como para los 31 funcionarios que han ingresado en la vigencia 2023 a la Entidad dando cumplimiento al 100% de la meta programada para la vigencia.
El registro de entrega de cada elemento se administra y está disponible como información documentada en el área de SST.
Durante el mes de octubre de la presente vigencia, se realizó el proceso de contratación para el suministro de elementos de protección personal los – EPP, el cual permitirá contar con los insumos para la renovación de los EPP en los casos necesarios y para alimentar el inventario para el cumplimiento total de la meta.
Lo anterior,  a través del Contrato No. 0301 del 2023, cuyo objeto es: “COMPRA DE LOS EQUIPOS Y ELEMENTOS DE PROTECCIÓN PERSONAL, COLECTIVOS Y DE EMERGENCIAS PARA LA PROTECCIÓN DE LOS TRABAJADORES DE LA CORPORACIÓN AUTÓNOMA REGIONAL DEL ATLÁNTICO, CONTRA LOS PELIGROS Y RIESGOS PRESENTES EN LOS AMBIENTES DE TRABAJO”.</t>
  </si>
  <si>
    <t>5.2.1.6. Garantizar, conforme a la matriz de peligros y riesgos de la CRA la realización de estudios que contengan las mediciones ambientales de iluminación, ruido, agentes biológicos, químicos y demás establecidos en dicha matriz</t>
  </si>
  <si>
    <t>No. de estudios realizados</t>
  </si>
  <si>
    <t>Esta meta a corte 31 de octubre de 2023 se encuentra cumplida en un 100%, teniendo en cuenta que se llevaron a cabo las siguientes acciones conforme a al plan de trabajo anual:
	Mediciones higiénicas de iluminación informe fase I y fase II (En cada fase se realizaron mediciones a 53 puntos de iluminación)
	Medición de ruido no industrial para descartar disconfort auditivo
	Midición de radiaciones ionizantes. 
Los informes se encuentran disponibles como información documentada del SG-SST
	Primera fase de medición de 53 puntos de iluminación
	Medición de puntos de ruido no industrial para descartar disconfort auditivo. 
	Medición de radiaciones ionizantes</t>
  </si>
  <si>
    <t>5.2.1.7. Garantizar la capacitación de trabajo en alturas a funcionarios y contratistas de la Corporación para la mejora de la gestión del riesgo de seguridad y salud</t>
  </si>
  <si>
    <t>No. de capacitaciones realizadas</t>
  </si>
  <si>
    <t>Esta es una meta que se encuentra cumplida al 100% en la presente vigencia dado que durante la vigencia 2022 se actualizaron los entrenamientos en alturas del personal objetivo, y por la legislación actual, la formación tiene una vigencia de 18 meses. De tal modo que corresponde realizar la siguiente actualización de trabajo en alturas para el mes julio de 2024. 
Vale la pena anotar, que además de las certificaciones en alturas que se tienen, que  habilitan al personal a ser “trabajador responsable de alturas y coordinador”, se han realizado  otros entrenamientos en temas importantes referidos al alto riesgo del trabajo en alturas, complementarios con la formación de la certificación vigente.
La Información de soporte se encuentra documentada y disponible en los archivos del área de SST.</t>
  </si>
  <si>
    <t>PROYECTO No 5.2.2. PLAN ESTRATÉGICO DE SEGURIDAD VIAL (PESV)</t>
  </si>
  <si>
    <t>5.2.2.1. Garantizar el mantenimiento, continuidad y mejora del Plan Estratégico de Seguridad vial de la CRA (Resolución 1565 de 2014, Resolución 1231 de 2016 y Decreto 2106 de 2019, Resolución 0312 de 2019. Decreto 1079 de 2015.)</t>
  </si>
  <si>
    <t>No. de informes con resultado proyectado</t>
  </si>
  <si>
    <t>Se cumplió con el proceso de actualización del Plan Estratégico De Seguridad Vial - PESV en todas sus etapas y todos sus componentes, de conformidad con los cambios normativos introducidos por la Resolución 20223040040595 del 12 de julio de 2022 del Ministerio del Transporte. Lo anterior nos permite tener un informe con valoración sobre 90 sobre 100 posible, cumpliendo con el 100% de la meta programada.
Es importante señalar, que en la autoevaluación interna realizada, se logró una valoración de 90 puntos sobre 100 posibles.
De igual forma, con la actualización realizada se formularon los 5 programas que incluyó la precitada Resolución para la gestión eficiente del riesgo vial. 
La auditoría externa a realizarse por la Secretaria Distrital de Movilidad de Barranquilla en asocio con el Mintrabajo, aún no ha sido notificada por dichos entes de control, pero la Corporación se encuentra atenta para su atención en el momento determinado por estas autoridades. 
Dentro del programas del PESV y del plan de capacitación se tienen incluidas actividades internas lideradas por el equipo de SST y otras tareas para ejecutar al final de la vigencia, las cuales se encuentran enmarcadas en el fortalecimiento de la cultura de seguridad vial de todos los trabajadores de la entidad. 
El logro alcanzado ha sido en el marco del Contrato No. 0240 de 2023, cuyo objeto fue: “CONTRATAR LOS SERVICIOS PROFESIONALES DE APOYO PARA LA QUE PRESTE ASESORÍA Y ACOMPAÑAMIENTO EN LA ACTUALIZACIÓN DEL PLAN ESTRATÉGICO DE SEGURIDAD VIAL (PESV) Y EN LA FORMACIÓN Y ENTRENAMIENTO EN ALTURAS PARA LA MEJORA CONTINUA DEL SISTEMA DE GESTIÓN EN SEGURIDAD Y SALUD EN EL TRABAJO DE LA CORPORACIÓN AUTONOMA REGIONAL DEL ATLANTICO”.
Las respectivas evidencias del proceso de actualización del Plan Estratégico De Seguridad Vial - PESV se encuentran disponibles como información documentada en el SG-SST.</t>
  </si>
  <si>
    <t>PROGRAMA No 5.3. TECNOLOGÍA (TECNOLOGIA DE PUNTA PARA LA AUTORIDAD AMBIENTAL)</t>
  </si>
  <si>
    <t>PROYECTO No 5.3.1. ESTRATEGIA Y GOBIERNO TI</t>
  </si>
  <si>
    <t>5.3.1.1. Formular el Plan estratégico de Tecnologías de Información PETI 2020-2023. 
 Formulación de la Política de Gobierno Digital y el Marco de Referencia de Arquitectura Empresarial</t>
  </si>
  <si>
    <t>No. de Planes Formulados</t>
  </si>
  <si>
    <t>5.3.1.2. Garantizar la divulgación y ejecución del Plan de Comunicaciones del PETI</t>
  </si>
  <si>
    <t>Porcentaje de divulgación y ejecución</t>
  </si>
  <si>
    <t>Se ha continuado con la divulgación del Plan Estratégico de las Tecnologías de la Información – PETI. Como parte de las actividades desarrolladas se ha enviado el mismo a los emails corporativos y se mantienen conversaciones con los usuarios que solicitan aclaración y/o presentan observaciones cumpliendo con el 100% de la meta programada en la presente vigencia. 
Se mantiene seguimiento por email, para responder oportunamente las solicitudes de aclaración.
De igual forma, se contrató a un profesional de soporte para apoyar la ejecución del proyecto.</t>
  </si>
  <si>
    <t>5.3.1.3. Diseñar e implementar un sistema de gestión de seguridad de la información basado en la norma ISO 27001</t>
  </si>
  <si>
    <t>Sistema de gestión implementado</t>
  </si>
  <si>
    <t>La Corporación Autónoma Regional del Atlántico ha venido adelantando acciones relacionadas con el diseño para la posterior implementación del Sistema de Gestión de Seguridad de la Información - SGSI según la norma ISO 27001. En tal sentido, la entidad, tiene un trabajo importante realizado, relacionado con la revisión del proceso de GESTION DE SISTEMAS y de sus procedimientos, acorde con al modelo  IT4+, lo que ha facilitado la ruta de trabajo, para cumplir con lo requerido por la norma ISO 27001.</t>
  </si>
  <si>
    <t>PROYECTO No 5.3.2. SERVICIOS TECNOLÓGICOS</t>
  </si>
  <si>
    <t>5.3.2.1. Adquirir, mantener y dar soporte a los equipos de cómputo, periféricos y sistema eléctricos de respaldo a las labores de la Entidad</t>
  </si>
  <si>
    <t>Porcentaje de equipos reemplazados y mantenidos</t>
  </si>
  <si>
    <t>Se viene realizando el mantenimiento preventivo a los equipos de computo de acuerdo a lo planificado en el área.
De otra parte, se realizó el proceso de adquisición por tienda virtual del estado colombiano, de 51 equipos de cómputo para los nuevos funcionarios de la Corporación, de los cuales llegaron 14 Portátiles, 36 Todo-En-Uno y 1 estación de trabajo.
Con lo anterior, damos cumplimiento al 100% de la meta programada para la vigencia 2023.</t>
  </si>
  <si>
    <t>5.3.2.2. Implementar servicios de voz, datos corporativos y servidores virtualizados en la entidad</t>
  </si>
  <si>
    <t>Porcentaje de implementación de servicios tecnológicos</t>
  </si>
  <si>
    <t>El cumplimiento del 100% de la meta programada se logró con la realización de las siguientes acciones:
Se gestionaron los servidores virtualizados en VMware y se implementaron servidores actualizados para la gestión del software de Gestión Documental Orfeo GPL. 
Para el apoyo en la gestión del Datacenter y la seguridad de la red LAN: Seguridad perimetral, endpoint, cloud, Datacenter, la asistencia técnica en la gestión del dominio crautonoma.gov.co, entre otros, se suscribió el contrato No. 227 de 2023 con LSN - LAN SECURITY NETWORKS S.A.S, cuyo objeto contractual es: “PRESTAR LOS SERVICIOS PROFESIONALES Y DE APOYO A LA GESTIÓN PARA EL FORTALECIMIENTO DE LA SEGURIDAD DE LA INFORMACIÓN, LA ACTUALIZACIÓN DE LICENCIAMIENTO DEL SOFTWARE BASE, EL MONITOREO Y SEGUIMIENTO DE LA INFRAESTRUCTURA TECNOLOGICA Y LA GESTIÓN DEL DATACENTER QUE POSEE LA CORPORACIÓN AUTÓNOMA REGIONAL DEL ATLÁNTICO – C.R.A.”</t>
  </si>
  <si>
    <t>5.3.2.3. Actualizar el software de base de la Corporación</t>
  </si>
  <si>
    <t>Porcentaje de actualización de software</t>
  </si>
  <si>
    <t xml:space="preserve">Se actualizó el 100% del software base de la corporación, el cual se encuentra representado en las siguientes acciones ejecutadas.
Se adqurieron 49 licencias de Office Profesional Plus 2021 a través del acuerdo marco de grandes superficies, las cuales ya se encuentran en la CRA y han sido instaladas en los nuevos equipos.
Se cuenta con los servicios de asistencia en la gestión del software base a traves de la empresa LSN - LAN SECURITY NETWORKS S.A.S, acorde al objeto contractual previamente señalado (Contrato No. 227 del 2023). 
Dicha asistencia técnica permitió, que se configuraran las diferentes herramientas y se actualizaran a las últimas versiones del siguiente software corporativo: 
	Kaspersky Antivirus
	Adobe Acrobat Pro
	Vmware 
	Fortinet, entre otros 
Asimismo, se hace copia de seguridad en la nube de las máquinas virtuales. 
Actualmente, se tienen elaborados los estudios previos para la renovación de las licencias de Kaspersky Security Cloud Plus y Adobe Acrobat PRO. La compra se tiene programada en noviembre del año en curso, por la Tienda Virtual del Estado Colombiano a través del acuerdo marco de grandes superficies.
</t>
  </si>
  <si>
    <t>5.3.2.4. Implementar servicios tecnológicos que dinamicen la realización de actividades internas y externas de la entidad</t>
  </si>
  <si>
    <t>Número de servicios tecnológicos implementados</t>
  </si>
  <si>
    <t>PROGRAMA No 5.4. COMUNICACIONES (FORTALECIMIENTO DE LA PRESENCIA INSTITUCIONAL EN MEDIOS DE COMUNICACIÓN)</t>
  </si>
  <si>
    <t>PROYECTO No 5.4.1. FORTALECIMIENTO DE LA IMAGEN INSTITUCIONAL</t>
  </si>
  <si>
    <t>5.4.1.1. Diseñar e implementar estrategias de comunicación para fortalecer la imagen institucional de la CRA</t>
  </si>
  <si>
    <t>Número Estrategias de Comunicación para el fortalecimiento de la imagen institucional</t>
  </si>
  <si>
    <t xml:space="preserve">En la vigencia 2023 se logró el cmplimiento del 100% de la meta establecida.
Se han venido ejecutando las siguentes 6 estrategias de comunicación, que han permitido fortalecer la imagen institucional de la entidad. 
1.	Estrategia de Divulgación y Visibilización de acciones institucionales.
2.	Estrategia de Crecimiento en Redes Sociales.
3.	Estrategia de Promoción de Imagen institucional.
4.	Estrategia de Engagement (Marketing Online).
5.	Estrategia de relacionamiento con medios de comunicación.
6.	Estrategia de fortalecimiento de la comunicación interna
Es importante mencionar, que cada estrategia contempla diferentes acciones a desarrollar. En este sentido, el detalle de las actividades de comunicación realizadas para cada estrategia, se presenta a través de la ejecución de cada una de las metas alcanzadas en el Programa de Comunicaciones, </t>
  </si>
  <si>
    <t>41
185
196
58
101
165
194
118</t>
  </si>
  <si>
    <t>5.4.1.3. Realizar campañas institucionales en medios de comunicación tradicionales y nuevas tecnologías</t>
  </si>
  <si>
    <t>Número de campañas institucionales impulsadas</t>
  </si>
  <si>
    <t>Se dio cumplimiento e incluso se superó el 100% de la meta programada para la vigencia, ello se logró con las campañas institucionales relacionadas a continuación.
ESTRATEGIA 3: PROMOCIÓN DE LA IMAGEN INSTITUCIONAL
Para el cumplimiento de esta meta se ejecutó la estrategia de Promoción de imagen institucional, desarrollando un total de 22  campañas tanto en medios tradicionales como radio y televisión, así como campañas desarrolladas en redes sociales; superando ampliamente la meta establecida para la vigencia 2023.
A continuación, se relacionan las campañas institucionales desarrolladas, de las cuales una se realizó en medios tradicionales y 21 en Redes Sociales</t>
  </si>
  <si>
    <t>5.4.1.4. Promover la participacion de la comunidad en las actividades de la corporación.</t>
  </si>
  <si>
    <t>Número de interacciones con la comunidad a través de redes sociales</t>
  </si>
  <si>
    <t xml:space="preserve">Se alcanzó un total de 33.036 interacciones entre las 3 redes sociales, siendo Facebook la red social que tuvo la mayor cantidad con 20.472 interacciones, seguida por Instagram con 11.019 y Twitter 1.545. </t>
  </si>
  <si>
    <t>5.4.1.2. Aumentar el número de visitas y seguidores en canales virtuales de la entidad</t>
  </si>
  <si>
    <t>Porcentaje de nuevos seguidores en canales virtuales</t>
  </si>
  <si>
    <t>Para el cumplimiento de esta meta, se ejecutó la presente estrategia de”Crecimiento en redes sociales”. En este sentido, se desarrolló la estrategia digital de la Corporación con la ejecución de  actividades de comunicación interna y externa.
Los resultados de Crecimiento alcanzados para cada Red Social en el primer semestre de la actual vigencia, denotan un crecimiento general promedio del 9,36%</t>
  </si>
  <si>
    <t>PROGRAMA No 5.5. BANCO DE PROYECTOS (CREATIVIDAD PARA LA EJECUCION DE PROYECTOS AMBIENTALES)</t>
  </si>
  <si>
    <t>PROYECTO No 5.5.1. FORTALECIMIENTO DEL BANCO DE PROYECTOS</t>
  </si>
  <si>
    <t>5.5.1.1. Gestionar recursos externos nacionales e internacionales a partir de la formulación y ejecución de proyectos ambientales</t>
  </si>
  <si>
    <t>Número de proyectos con financiación nacional o internacional</t>
  </si>
  <si>
    <t>5.5.1.2. Apoyar la formulación, radicación y evaluación de proyectos ambientales radicados en la entidad.</t>
  </si>
  <si>
    <t>Porcentaje de proyectos revisados con relación a los radicados</t>
  </si>
  <si>
    <t>Con la revisión de la totalidad de proyectos ambientales radicados en el Banco de proyectos de la entidad, se viene dado cumplimiento al 100% de la meta de la vigencia 2023, dado que se ha revisado la totalidad de dichos proyectos. 
En el primer semestre de la presente vigencia se tiene registro de doce (12) proyectos ambientales radicados en el Banco de Proyectos</t>
  </si>
  <si>
    <t>5.5.1.3. Adoptar herramientas para el seguimiento de los Instrumentos de Planeación y Administración de proyectos en la entidad</t>
  </si>
  <si>
    <t>Número de herramientas desarrolladas para seguimiento</t>
  </si>
  <si>
    <t>PROGRAMA No 5.6. SISTEMAS DE INFORMACIÓN AMBIENTAL</t>
  </si>
  <si>
    <t>PROYECTO No 5.6.1. GESTIÓN DE LA INFORMACIÓN</t>
  </si>
  <si>
    <t>5.6.1.1. Renovar y licenciar el Software para el desarrollo de las actividades misionales y administrativas de la entidad.</t>
  </si>
  <si>
    <t>Porcentaje de Renovación y Licenciamiento de Software</t>
  </si>
  <si>
    <t>Durante esta vigencia se destaca la renovación del Software contable (PCT), un paso adelante en la emisión de facturación y nomina electrónica cumpliendo así con la normativa y directrices emitidas por la DIAN, para este logro fue importante el compromiso del proveedor de servicios PCT Ltda., a traves del Contrato No. 0245  de 2023.
Con las acciones desarrolladas en la presente acción estratégica, se tiene un cumplimiento del meta establecida de 100%</t>
  </si>
  <si>
    <t>5.6.1.2. Mantener la pagina web, intranet y subportales de la Entidad</t>
  </si>
  <si>
    <t>Porcentaje de mantenimiento</t>
  </si>
  <si>
    <t>Con las acciones desarrolladas en la vigencia 2023 se puede evidenciar que la meta asociada a la presente acción estratégica, se ha cumplido al 100% se evidencia en el word el listado.</t>
  </si>
  <si>
    <t>5.6.1.3. Implementar Software de soporte para la Oficina Jurídica</t>
  </si>
  <si>
    <t>(Numero de software adquiridos y/o desarrollados / Numero de software necesario para la gestión institucional)*100))</t>
  </si>
  <si>
    <t>5.6.1.4. Implementar Software de soporte para PQRS</t>
  </si>
  <si>
    <t>5.6.1.5. Formular e Implementar la Política de Seguridad y Manejo de la Informacion y el Marco de Interoperabilidad</t>
  </si>
  <si>
    <t>Documento de Política Formulado e implementado</t>
  </si>
  <si>
    <t>La meta tiene cumplimiento del 100%, conforme a las acciones que se describen a continuación.
Se elaboraron los ajustes a la Matríz de Riesgos del proceso de Gestión de Tecnologías de la Iinformación donde se realiza la gestión de los riesgos de seguridad de la información, alineada con lo establecido en el Manual de Gestión del Riesgo de la función pública.
De otra parte, conforme al Modelo de Privacidad y Seguridad de la Información establecido en la politica del Gobierno Digital, liderado por MINTIC, se vienen realizando acciones encaminadas a la implementacion de la norma ISO 27001 y lo establecido en las Guías del modelo antes señalado.</t>
  </si>
  <si>
    <t>PROYECTO No 5.6.2. SISTEMAS DE INFORMACIÓN AMBIENTAL (SIAC)</t>
  </si>
  <si>
    <t>5.6.2.1. Implementar, mantener y mejorar estrategias para la consolidacion del sistema de informacion geografico ambiental y su articulacion con las diferentes entidades del SINA.</t>
  </si>
  <si>
    <t>Porcentaje de implementación y mantenimiento de la herramienta</t>
  </si>
  <si>
    <t>Después de haber realizado la actualización de la estructura de la información  registrada en el Geonodo en la vigencia anterior, durante la vigencia 2023, se contó con el apoyo de los funcionarios SIG de la Corproación, para realizar la actualización según los lineamientos requeridos, logrando así el cumplimiento del 100% de implementación y mantenimiento de las herramientas .</t>
  </si>
  <si>
    <t>5.6.2.2. Dar cumplimiento a la normatividad vigente en materia de Mantenimiento y operación de los subsistemas de SIAC a través de la entrega de información ambiental en: VITAL, RESPEL, RUA, PCBS, SISAIRE, SNIF, SIRH, SIB, SIAM, SMBYC, SIPGA CAR, SINAP-RUNAP, SIUR</t>
  </si>
  <si>
    <t>Mensualmente se ha venido realizando la actualización de registros de los sistemas de información ambiental, cumpliendo con el 100% de la meta programada.</t>
  </si>
  <si>
    <t>PROGRAMA No 5.7. SISTEMAS DE GESTIÓN INTEGRADOS</t>
  </si>
  <si>
    <t>PROYECTO No 5.7.1. SISTEMA DE GESTIÓN DE CALIDAD, AMBIENTAL Y SEGURIDAD Y SALUD EN EL TRABAJO.</t>
  </si>
  <si>
    <t>5.7.1.1. Realizar ciclos de auditoría interna de conformidad con la metodología vigente</t>
  </si>
  <si>
    <t>Numero de Auditorias internas realizadas al sistema de gestión integrado</t>
  </si>
  <si>
    <t>Se dio cumplimiento del 100% de la meta programada para la vigencia. Para el cumplimiento de la meta de la auditoría interna realizada al sistema de gestión integrado, se procedió con la selección de un grupo de funcionarios y contratistas para formarlos como auditores internos HSEQ en el marco del programa Sembrando Saberes que opera en coordinación con el ICONTEC. El grupo de auditores internos formados llevó a cabo la auditoria interna de la vigencia 2023 entre el 25 de septiembre y 5 de octubre del mismo año.</t>
  </si>
  <si>
    <t>5.7.1.2. Mantener la certificación del sistema de gestión de la calidad según NTC ISO 9001:2015</t>
  </si>
  <si>
    <t>Número de Sistemas de Gestión certificados y mantenidos</t>
  </si>
  <si>
    <t>El Sistema de Gestión Integrado y su componente de Gestión de la Calidad se encuentra implementado y operando dentro de lo planificado, cumpliendo con la meta de un Sistema de Gestión certificado y mantenido.
La auditoría de seguimiento se realizó por parte del ente certificador ICONTEC. Asímismo, el grupo de trabajo del SGI tiene establecido para la actual vigencia un cronograma de trabajo que ha permitido hacer el mantenimiento adecuado al Sistema de Gestión Integrado - SGI, dentro del que se encuentra su componente de calidad.</t>
  </si>
  <si>
    <t xml:space="preserve">82
63
</t>
  </si>
  <si>
    <t>5.7.1.3. Implementar un sistema de seguridad y salud en el trabajo, según norma NTC 45001:2015</t>
  </si>
  <si>
    <t>No. de sistemas implementados según NTC 45001:2018 (Sistema de Gestión de la Seguridad y Salud en el Trabajo)</t>
  </si>
  <si>
    <t>El Sistema de Gestión Integrado y su componente de Gestión de la Seguridad y Salud en el Trabajo   - SST se encuentra implementado y operando según lo planificado, con la auditoría de seguimiento programada para noviembre del año en curso con el organismo certificador, tal como se mencionó previamente.</t>
  </si>
  <si>
    <t>5.7.1.4. Implementar un sistema de gestión ambiental según la norma NTC ISO 14001:2015</t>
  </si>
  <si>
    <t>No. de sistemas implementados egún NTC ISO 14001:2015 (Sistema de Gestión Ambiental )</t>
  </si>
  <si>
    <t xml:space="preserve">El SGI dentro de su componente de Gestión Ambiental se encuentra operando dentro de los niveles adecuados, manteniendo la certificación en la auditoría de seguimiento realizada por parte del ente certificador ICONTEC, dando cumplimiento a la meta en la vigencia 2023.
De igual forma, el equipo del SGI, tiene establecido un cronograma de actividades para la presente vigencia, que se ha venido ejecutando conforme a lo planificado, lo que ha permitido hacer el mantenimiento adecuado al componente de Gestión Ambiental. </t>
  </si>
  <si>
    <t>PROYECTO No 5.7.2. NTC 17025</t>
  </si>
  <si>
    <t>5.7.2.1. Implementar una norma para la calibración de equipos según ISO 17025: 2017 (Ensayo y Calibración)</t>
  </si>
  <si>
    <t>Norma ISO Implementada</t>
  </si>
  <si>
    <t>Durante la vigencia se trabajó en el documento Guía para la adquisición de servicios de calibración y medición en la CRA. La guía tiene el objetivo de brindar lineamientos e instrucciones a las dependencias de la corporación para incorporar adecuadamente los criterios aplicables de la norma ISO 17025:2017 en la contratación de servicios de calibración y medición de variables físicas.
Con las acciones desarrolladas se da cumplimiento a 100% de la meta programada en la vigencia.</t>
  </si>
  <si>
    <t>PROYECTO No 5.7.3. MIPG</t>
  </si>
  <si>
    <t>5.7.3.1. Implementar un modelo integrado de planeación y gestión, de conformidad con el Decreto 1499/17</t>
  </si>
  <si>
    <t>No. de modelos implementados</t>
  </si>
  <si>
    <t>A traves del proceso de diseño, implementación y mantenimiento del Sistema de Gestión Integrado se han desasrrollado actividades de cada una de las siete (7) dimensiones del Modelo Integrado de Planeación y Gestión – MIPG, las cuales dan un cumplimiento del 100% de la meta programada en la vigencia.  
Para continuar con la implementación, se adoptó la metodología de autodiagnóstico del modelo propuesto en el micrositio de MIPG en la página de la función pública. 
La implementación de esta herramienta inició con la oficina de Gestión Humana en lo relativo a la Dimensión 1 - Gestión Estratégica del Talento Humano.
Como evidencia del trabajo adelantado se presenta imagen del Autodiagnóstico del Modelo realizado con la Oficina de Gestión Humana.</t>
  </si>
  <si>
    <t>PROGRAMA No 5.8. GESTIÓN DOCUMENTAL Y ARCHIVO</t>
  </si>
  <si>
    <t>PROYECTO No 5.8.1. SGD</t>
  </si>
  <si>
    <t>5.8.1.1. Disponer de un Archivo Central en condiciones de funcionamiento adecuadas</t>
  </si>
  <si>
    <t>Porcentaje de Documentos custodiados (correspondientes al archivo central)</t>
  </si>
  <si>
    <t>La meta del cuatrienio se encuentra cumplida y superada frente a la establecida para la vigencia 2023, logrando el 92,5% de documentos custodiados en condiciones de espacio y medioambientales adecuadas de seguridad, medición de temperatura y humedad relativa, uso y manejo de extintores, alarmas contra incendio y personal especializado para el desarrollo de todas las actividades, cumpliendo con todos los requerimientos exigidos por el Archivo General de la Nación.
Lo anterior, teniendo en cuenta que del total de 4.000 cajas que conforman el archivo central de la corporación, se encuentran en las bodegas del contratista MERCADATOS SA 3700 cajas lo que representa el 92.5% antes señalado.</t>
  </si>
  <si>
    <t xml:space="preserve">124
</t>
  </si>
  <si>
    <t>81~Número de países que adoptan y aplican garantías constitucionales, legales y / o de política para el acceso público a la información</t>
  </si>
  <si>
    <t>5.8.1.2. Adelantar procesos de digitalización de información sensible y de importancia en la entidad</t>
  </si>
  <si>
    <t>Porcentaje de documentos digitalizados (correspondientes a áreas misionales y estratégicas)</t>
  </si>
  <si>
    <t>Para este año 2023, se tiene establecida una meta del 20% de documentos a digitalizar, la cual fue alcanzada en la vigencia anterior 2022 con la ejecución del Contrato No. 186 de 2022. El objeto del contrato anterior fue el de PRESTAR SERVICIOS PARA LA COMPLEMENTACIÓN DE LA GESTIÓN DE DOCUMENTOS DIGITALES Y ELECTRÓNICOS, EN CONSONANCIA CON LA POLÍTICA DE "CERO PAPEL" DEL GOBIERNO NACIONAL E INCURSIÓN, EN LA ESTRATEGIA DIGITAL DE MANEJO DE ARCHIVOS PARA GARANTIZAR EL TRABAJO EN CASA O REMOTO, CUANDO SE REQUIERA.
Es importante señalar, que el avance acumulado del cuatrenio (2020 – 2023) programado para esta acción estratégica es del 70% de documentos misionales y estratégicos digitalizados, el cual fue alcanzado y superado en la vigencia del año inmediatamente anterior 2022, alcanzando un porcentaje acumulado del 90% repecto a los documentos digitalizados de las área misionales y estratégicas de la Corporación</t>
  </si>
  <si>
    <t>5.8.1.3. Elaborar instrumentos archivísticos y de gestión de la información para la planificación de la gestión documental</t>
  </si>
  <si>
    <t>Número de Instrumentos archivísticos creados.</t>
  </si>
  <si>
    <t>5.8.1.4. Revisar y Actualizar los instrumentos archivísticos y de gestión de la información que existen en la entidad</t>
  </si>
  <si>
    <t>Número de Instrumentos archivísticos actualizados.</t>
  </si>
  <si>
    <t xml:space="preserve">Se actualizaron los inventarios documentales del Archivo de Gestión y Archivo Central, lo que representa el cumplimento del 100% de la meta de la actual vigencia. 
Los inventarios documentales son instrumentos de recuperación de información que describen de manera exacta y precisa las series o asuntos de un fondo documental.
</t>
  </si>
  <si>
    <t>5.8.1.5. Garantizar el cumplimiento de la normatividad de la gestión documental en cada uno de los archivos de gestión de la entidad</t>
  </si>
  <si>
    <t>Número de Archivos Gestionados.</t>
  </si>
  <si>
    <t>La meta se encuentra cumplida al 100% según lo programado para la vigencia 2023. Durante la vigencia se han apoyado a las subdirecciones y oficinas asesoras de dirección en las diferentes inquietudes y/o requerimientos de las mismas frente a los procesos de digitalización, verificación de las transferencias documentales; préstamo, acceso y consulta de la información:
1.	Subdirección de Planeación (hoy Oficina Asesora de Planeación)
2.	Subdirección Financiera
3.	Subdirección Ambiental 
4.	Control Interno
5.	Secretaría General 
6.	Dirección General
7.	Oficina Asesora Juríca</t>
  </si>
  <si>
    <t xml:space="preserve">076
080
134
135
</t>
  </si>
  <si>
    <t>5.8.1.6. Fomentar el saneamiento de expedientes</t>
  </si>
  <si>
    <t>Porcentaje de expedientes con saneamiento</t>
  </si>
  <si>
    <t xml:space="preserve">El saneamiento de expedientes abarca la organización y ordenación relacionada en la respectiva hoja de control, colocación de rótulos en las cajas de tomos de expedientes de los tramites concesión de aguas (01) y de los permisos de vertimientos líquidos (02).
En este sentido, la entidad en el desarrollo del proceso de revisión y actualización de expedientes de saneamiento ambiental, de un total de 1810 cajas con expedientes que se tienen actualmente en el área de saneamiento, alcanzó a corte 31 de octubre del 2023 un total de 1.712 cajas de expedientes organizadas (revisadas y actualizadas), que contienen alrededor de 11.985 carpetas.
Lo anteriormente señalado representa un avance en la meta de la vigencia de un 94,6% de expedientes con saneamiento a la fecha de este informe. </t>
  </si>
  <si>
    <t xml:space="preserve">134
135
</t>
  </si>
  <si>
    <t>PROGRAMA No 5.9. SOPORTE JURIDICO (UNA ENTIDAD QUE CUIDA SUS RECURSOS)</t>
  </si>
  <si>
    <t>PROYECTO No 5.9.1. DEFENSA JURÍDICA</t>
  </si>
  <si>
    <t>5.9.1.1. Atender los trámites jurídico procesales de la Entidad.</t>
  </si>
  <si>
    <t>Porcentaje de atención de trámites procesales</t>
  </si>
  <si>
    <t xml:space="preserve">Las acciones judiciales instauradas ante la Corporación se atendieron en su totalidad, dándole a cada una el impulso correspondiente por el abogado asignado, cumpliendo con la meta de atención del 100% de las acciones judiciales presentadas en la actual vigencia. </t>
  </si>
  <si>
    <t>5.9.1.2. Formular e implementar la política de prevención del daño antijurídico.</t>
  </si>
  <si>
    <t>Implementación y Formulación de las políticas de prevención de daño antijurídico.</t>
  </si>
  <si>
    <t>El propósito de la implementación de la política del daño antijurídico es prevenir la ocurrencia de cualquier situación interna o externa que le implique responsabilidades jurídicas a la Corporación Autónoma Regional del Atlántico, teniendo en cuenta los efectos patrimoniales, que implican costos a cargo de los recursos públicos. En tal sentido la Agencia Nacional de Defensa Jurídica del Estado, ha propuesto la metodología para la formulación de la política de prevención del Daño antijurídico. 
En cumplimiento de lo anteriormente señalado, el equipo de Soporte Jurídico / Defensa de los Intereses de la Corporación, realizó las siguientes actuaciones, en el marco de acta No. 01 de 2023 donde se adopta e implementa la política del daño antijurídico para la vigencia 2022-2023”.</t>
  </si>
  <si>
    <t>PROYECTO No 5.9.2. PQRS</t>
  </si>
  <si>
    <t>5.9.2.1. Atender las PQRS radicadas en la Entidad.</t>
  </si>
  <si>
    <t>Porcentaje de Atención de las PQRS</t>
  </si>
  <si>
    <t xml:space="preserve">Durante la vigencia han sido asignados a la Oficina Jurídica por parte de la Dirección General un total de 1.485 derechos de petición de los cuales han sido atendidos 1.449, lo que corresponde a un cumplimiento del 97,57% de la meta de la vigencia 2023.
</t>
  </si>
  <si>
    <t xml:space="preserve">016
009
157
017
</t>
  </si>
  <si>
    <t>PROYECTO No 5.9.3. CONTRATACIÓN ESTATAL</t>
  </si>
  <si>
    <t>5.9.3.1. Atender los trámites procesales contractuales requeridos por la Dirección de la Entidad</t>
  </si>
  <si>
    <t>Porcentaje de Atención a las necesidades contractuales de cada dependencia.</t>
  </si>
  <si>
    <t>En el proceso de Adquisición de Bienes y Servicios (Contratación Estatal) a corte 31 de octubre del 2023, se registra un cumplimiento de la meta del 100%. 
En el periodo del 1 de enero al 31 de octubre del año 2023, se recibió la solicitud de 296 trámites procesales contractuales requeridos por la Dirección de la entidad, los cuales fueron atendidos y tramitados conforme al reglamento interno y al Estatuto de Contratación Estatal, hasta el perfeccionamiento de los 296 contratos.</t>
  </si>
  <si>
    <t>PROGRAMA No 5.10. GESTIÓN DE INFRAESTRUCTURA (CONDICIONES ADECUADAS PARA PRESTAR UN MEJOR SERVICIO)</t>
  </si>
  <si>
    <t>PROYECTO No 5.10.1. EFICIENCIA ENERGÉTICA</t>
  </si>
  <si>
    <t>5.10.1.1. Realizar auditorías energéticas a la CRA para desarrollar un programas de eficiencia energética</t>
  </si>
  <si>
    <t>Numero de auditorias realizadas</t>
  </si>
  <si>
    <t>No se ha ejecutado la auditoría energética, se tiene planificada para su incorporación en el PAI 2024-2027.</t>
  </si>
  <si>
    <t>PROYECTO No 5.10.2. MANTENIMIENTO Y ADQUISICIÓN DE NUEVOS ELEMENTOS</t>
  </si>
  <si>
    <t>5.10.2.1. Garantizar la funcionalidad de la infraestructura de la Entidad a partir de su mantenimiento preventivo o reposición</t>
  </si>
  <si>
    <t xml:space="preserve">100% de mantenimiento a infraestructura </t>
  </si>
  <si>
    <t>De acuerdo con el cronograma establecido para realizar las actividades de mantenimiento a la infraestructura de la Corporación Autónoma Regional del Atlántico y sus sedes, se ha realizado al 100% de los mantenimientos requeridos.
Se realizaron mantenimientos a los mobiliarios, aires acondicionados, motobombas, extintores, reparaciones locativas, entre otros, dando cumplimiento a lo proyectado en el cronograma.</t>
  </si>
  <si>
    <t xml:space="preserve">238
253
252
</t>
  </si>
  <si>
    <t>5.10.2.2. Garantizar el mantenimiento y adecuación (bienes inmuebles) de la sede principal y otras sedes de la corporación</t>
  </si>
  <si>
    <t xml:space="preserve">100% de mantenimiento a inmuebles </t>
  </si>
  <si>
    <t>La meta correspondiente al mantenimiento preventivo y correctivo de la infraestructura de la Corporación se ha cumplido al 100% de acuerdo con el cronograma.
Se han realizado mantenimientos correctivos y reparaciones locativas menores en las dos sedes de la Corporación, garantizando el buen funcionamiento de la infraestructura de la entidad.</t>
  </si>
  <si>
    <t>5.10.2.3. Disponer de vehículos para las áreas misionales y administrativas de la entidad.</t>
  </si>
  <si>
    <t>Número de vehículos disponibles para las áreas estratégicas, misionales y de apoyo en la entidad.</t>
  </si>
  <si>
    <t xml:space="preserve">5.11 PROGRAMA DEFICIT DE VIGENCIAS ANTERIORES </t>
  </si>
  <si>
    <t>5.11.1. PROYECTO SANEAMIENTO FINANCIERO DEFICIT FISCAL 2019</t>
  </si>
  <si>
    <t>5.11.1.1. Saneamiento Déficit Fiscal 2019</t>
  </si>
  <si>
    <t>Porcentaje de avance en el pago de deficit fiscal</t>
  </si>
  <si>
    <t>(18) TOTAL METAS FISICAS Y FINANCIERAS*</t>
  </si>
  <si>
    <t>*El total de las metas fisicas y financieras sera el resultado de una sumatoria, promedios aritmetico o ponderados segun el caso y solo se aplica para las columnas relacionadas con porcentajes de avance y metas financieras.</t>
  </si>
  <si>
    <t>PRESUPUESTO</t>
  </si>
  <si>
    <t>s</t>
  </si>
  <si>
    <t>ANEXO No. 2.PROTOCOLO O GUÍA DE DILIGENCIAMIENTO</t>
  </si>
  <si>
    <t xml:space="preserve">ITEM </t>
  </si>
  <si>
    <t>Enuncie el nombre de cada uno de los componentes de la estructura jerárquica del PAC (Línea estrategica, Programa, Proyecto, Actividad). Inserte filas cuando sea necesario.</t>
  </si>
  <si>
    <t>Indicador establecido para la medición del avance de cada una de las metas previstas en el PAC.</t>
  </si>
  <si>
    <t>(3) UNIDAD DE MEDIDA</t>
  </si>
  <si>
    <t>Relacione la unidad de medida por medio de la cual se determina la meta y el avance de la meta física, ejemplo hectáreas, número, porcentaje, metros, etcl</t>
  </si>
  <si>
    <t>(3) META FÍSICA ANUAL</t>
  </si>
  <si>
    <t>corresponde al valor de la meta anual programada para el año que se este evaluando, con relación a la acción estrategica o actividad registrado en la columna (1). Ejemplo: hectáreas reforestadas, microcuencas con plan de ordenamiento formulado, # de vertimientos reglamentados, etc.</t>
  </si>
  <si>
    <t xml:space="preserve">(4) AVANCE EJECUCIÓN DE LA META FISICA  </t>
  </si>
  <si>
    <t>Reporte el avance en la ejecución de la meta para el periodo evaluado en terminos de producto. Ejemplo: 35 hectáreas reforestadas, 3 microcuencas con plan de ordenamiento formulado, etc.  Si no se presenta avance diligenciar la matriz con ceros (0,0) y en ningún caso dejar celdas en blanco.</t>
  </si>
  <si>
    <t>(5) AVANCE DEL REZAGO DE LA META FISICA</t>
  </si>
  <si>
    <t xml:space="preserve">Corresponde al registro de avance en la ejecución de las metas del proyecto que no fueron cumplidas en la vigencia anterior. </t>
  </si>
  <si>
    <t xml:space="preserve">(6) PORCENTAJE DE AVANCE FISICO </t>
  </si>
  <si>
    <t>Calcule el porcentaje del avance anual de la Meta física programada. Divida el valor de la columna  (4) con el valor de la columna (3) y multiplique por 100. Si hay reporte de rezagos calcule el avance sumando el avance registrado en la respectiva vigencia con el avance de rezago, divida por el valor de la meta (columna 3) y multiplique por 100. 
El cálculo de avance de los niveles superiores debe afectarse por el valor de ponderación de la columna 14. Si no se presenta avance en el programa o proyecto, se deberá diligenciar la matriz con ceros (0,0) y en ningún caso dejar celdas en blanco.</t>
  </si>
  <si>
    <t xml:space="preserve">(7) DESCRIPCIÓN DEL AVANCE </t>
  </si>
  <si>
    <t>En esta columna se debe describir brevemente en que consiste el avance registrado</t>
  </si>
  <si>
    <t>Corresponde a la fecha de corte del reporte. Semestre I: 30 junio e informe anual: 31 diciembre</t>
  </si>
  <si>
    <t>Indique si la evidencia que se registra corresponde a contratos o convenios o acciones de funcionamiento.</t>
  </si>
  <si>
    <t>Si en la columna 9 seleccionó la opción funcionamiento, en esta columna debe indicar como se realizó.</t>
  </si>
  <si>
    <t>Si en la columna 9 seleccionó la opción contrato, en esta columna debe indicar si este se encuentra en ejecución, liquidado, con saldo a favor o en reserva.</t>
  </si>
  <si>
    <t>Si en la columna 9 seleccionó la opción contrato, en esta columna debe indicar el número del contrato o convenio.</t>
  </si>
  <si>
    <t xml:space="preserve"> (10) META FISICA DEL PAC</t>
  </si>
  <si>
    <t>Identifique el valor  (en numero) de la meta del plan de acción con relación a las acciones estrategicas o actividades registradas en la columna (1). Ejemplo: hectáreas reforestadas, microcuencas con plan de ordenamiento formulado, # de vertimientos reglamentados, etc.</t>
  </si>
  <si>
    <t>(11) AVANCE ACUMULADO DE LA META FISICA</t>
  </si>
  <si>
    <t>Reporte el avance acumulado de la meta física que se obtenga desde la aprobación del Plan de Acción, incluyendo el periodo evaluado.  Ejemplo 100 Ha reforestadas (2020), más 140 Ha reforestadas (2021), para un acumulado de 240 Ha (2020+2021)</t>
  </si>
  <si>
    <t>(12) PORCENTAJE DE AVANCE FISICO ACUMULADO</t>
  </si>
  <si>
    <t>Calcule el porcentaje del avance de la Meta física acumulada. Divida el valor de la columna  (11) con el valor de la columna (10) y multiplique por 100.</t>
  </si>
  <si>
    <t>PONDERACIONES  PAC 2020 -2023</t>
  </si>
  <si>
    <t>Relacione aquí las ponderaciones o pesos dados a cada componente del Plan de Acción teniendo en cuenta que:
•	La suma de todas las ponderaciones de las líneas estratégicas debe ser 100.
•	La suma de las ponderaciones de los programas asociados a cada línea estratégica debe ser 100.
•	La suma de las ponderaciones de los proyectos asociados a los programas debe ser 100
•	La suma de las ponderaciones de los objetivos asociados a los proyectos debe ser 100.
•	La suma de las ponderaciones de los productos asociados al Objetivo debe ser 100.
•	La suma de las ponderaciones de las actividades asociadas a los objetivos debe ser 100.</t>
  </si>
  <si>
    <t>Relacione aquí las ponderaciones o pesos dados a cada componente del Plan de Acción en la vigencia objeto del reporte, teniendo en cuenta que, si alguna actividad, proyecto o programa no tiene metas para la vigencia el valor establecido para esta debe distribuirse de forma equitativa entre los componentes que si tienen meta.</t>
  </si>
  <si>
    <t>(15) META FINANCIERA ANUAL</t>
  </si>
  <si>
    <t>Relacione aquí de acuerdo al plan de inversión vigente (incluye adiciones o modificaciones) los montos de inversión anual previstos para cada Linea, programa, proyecto y actividad. Recuerde que no se pueden relacionar productos para actividades que no tienen meta asociada para la vigencia objeto de reporte</t>
  </si>
  <si>
    <t xml:space="preserve">(16) AVANCE DE LOS RECURSOS COMPROMETIDOS (Recursos comprometidos periodo Evaluado) </t>
  </si>
  <si>
    <r>
      <t>Reporte el avance acumulado para el periodo evaluado de la ejecución de recursos comprometidos de la respectiva meta financiera anual programada en la columna (15). Para el caso de los recursos de inversión ejecutados, se deben relacionar específicamente los montos que esten afectados bajo un</t>
    </r>
    <r>
      <rPr>
        <u/>
        <sz val="7"/>
        <rFont val="Arial Narrow"/>
        <family val="2"/>
      </rPr>
      <t xml:space="preserve"> registro presupuestal</t>
    </r>
    <r>
      <rPr>
        <sz val="7"/>
        <rFont val="Arial Narrow"/>
        <family val="2"/>
      </rPr>
      <t>, es decir, los recursos que han surtido todos lo pasos de destinación y efectivamente están designados para la ejecución de un proyecto o actividad.</t>
    </r>
  </si>
  <si>
    <t>(17)  PORCENTAJE DEL AVANCE DE COMPROMISOS % (Periodo Evaluado)</t>
  </si>
  <si>
    <t xml:space="preserve">Calcule el porcentaje del avance anual de la Meta financiera programada. Divida el valor de la columna  (16) con el valor de la columna (15) y multiplique por 100. </t>
  </si>
  <si>
    <t>Reporte el avance acumulado para el periodo evaluado de la ejecución de recursos obligados de la respectiva meta financiera anual programada en la columna (15). Se entiende por obligación el monto adeudado producto del desarrollo de los compromisos adquiridos por el valor equivalente a los bienes recibidos, servicios prestados y demás exigibilidades pendientes de pago. (manual para el registro de la contabilidad presupuestal pública)</t>
  </si>
  <si>
    <t>(19) PORCENTAJE DE AVANCE DE LOS RECURSOS OBLIGADOS  (AVANCE FINANCIERO)</t>
  </si>
  <si>
    <t xml:space="preserve">Calcule el porcentaje de ejecución financiera anual . Divida el valor de la columna  (18) con el valor de la columna (15) y multiplique por 100. </t>
  </si>
  <si>
    <t xml:space="preserve">(20) RESERVA PRESUPUESTAL 2023 </t>
  </si>
  <si>
    <t>Una reserva presupuestal se genera cuando el compromiso es legalmente constituido pero cuyo objeto no fue cumplido dentro del año fiscal que termina y será pagada con cargo a la reserva que se constituye a más tardar el 20 de enero de la vigencia siguiente. Se obtiene de restar el valor de la columna 16 con la columna 18</t>
  </si>
  <si>
    <t>(21) RESERVA PRESUPUESTAL DEL 2020</t>
  </si>
  <si>
    <t>Corresponde a los recuros que no lograron pagarse en la vigencia 2020</t>
  </si>
  <si>
    <t>(21-A) OBLIGACIONES DE LA RESERVA 2020</t>
  </si>
  <si>
    <t>Corresponde a los recursos de la reserva 2020 que lograron obligarse en la vigencia 2021</t>
  </si>
  <si>
    <t>(22) RESERVA PRESUPUESTAL DEL 2021</t>
  </si>
  <si>
    <t>Corresponde a los recuros que no lograron pagarse en la vigencia 2021</t>
  </si>
  <si>
    <t>(22-A) OBLIGACIONES DE LA RESERVA 2021</t>
  </si>
  <si>
    <t>Corresponde a los recursos de la reserva 2020 que lograron obligarse en la vigencia 2022</t>
  </si>
  <si>
    <t>(23) RESERVA PRESUPUESTAL DEL 2022</t>
  </si>
  <si>
    <t>(23-A) OBLIGACIONES DE LA RESERVA 2022</t>
  </si>
  <si>
    <t>Corresponde a los recursos de la reserva 2020 que lograron obligarse en la vigencia 2023</t>
  </si>
  <si>
    <t>(23-B) PORCENTAJE DE AVANCE EJECUCIÓN DE LA RESERVA 2022</t>
  </si>
  <si>
    <t xml:space="preserve">Calcule el porcentaje de ejecuciónde la reserva dividiendo el valor de la columna  (23A) con el valor de la columna (23) y multiplique por 100. </t>
  </si>
  <si>
    <t>(24) META FINANCIERA DEL PLAN</t>
  </si>
  <si>
    <t>Relacione aquí de acuerdo al plan de inversión del Plan de Acción  los montos de inversión previstos para cada programa o proyecto para los cuatro años. (incluye adiciones o modificaciones).</t>
  </si>
  <si>
    <t>(25) AVANCE ACUMULADO DE LREC. COMPROMETIDOS</t>
  </si>
  <si>
    <t>Reporte el avance acumulado de recursos comprometidoss en la vigencia del Plan de Acción, desde su aprobación hasta el periodo del informe.  Ejemplo $100'000.000.oo (2020) + $150'000.000.oo (2021), da un acumulado de inversión del Plan de Acción de $250'000.000.oo</t>
  </si>
  <si>
    <t>(26) PORCENTAJE DE  AVANCE RECURSOS COMPROMETIDOS</t>
  </si>
  <si>
    <t>Calcule el porcentaje del avance acumulado de los recursos comprometidos respecto a la Meta financiera programada en el Plan de Acción. Divida el valor de la columna  (25) con el valor de la columna (24) y multiplique por 100.</t>
  </si>
  <si>
    <t>(27) AVANCE ACUMULADO DE LA EJECUCIÓN DE META
FINANCIERA (REC. OBLIGADO</t>
  </si>
  <si>
    <t>Reporte el avance acumulado de recursos obligados en la vigencia del Plan de Acción, desde su aprobación hasta el periodo del informe.  Ejemplo $100'000.000.oo (2020) + $150'000.000.oo (2021), da un acumulado de inversión del Plan de Acción de $250'000.000.oo</t>
  </si>
  <si>
    <t>(28) PORCENTAJE DE  AVANCE FINANCIERO ACUMULADO</t>
  </si>
  <si>
    <t>Calcule el porcentaje del avance acumulado de los recursos obligados respecto a la Meta financiera programada en el Plan de Acción. Divida el valor de la columna  (27) con el valor de la columna (24) y multiplique por 100.</t>
  </si>
  <si>
    <t>(29) OBSERVACIONES</t>
  </si>
  <si>
    <t>Realice las respectivas observaciones que sean necesarias, principalmente cuando se requiera hacer alguna precisión sobre el avance de las metas físicas y financieras..</t>
  </si>
  <si>
    <t>(30) PROGRAMA DE INVERSIÓN PUBLICA A LA QUE APORTA</t>
  </si>
  <si>
    <t>Indique a nivel de programa del PAC a cual de los 9 programas de inversión pública del sector ambiente le aporta.</t>
  </si>
  <si>
    <t>(31) IMG AL QUE  APORTA</t>
  </si>
  <si>
    <t>Indique el IMG al cual le aporta información de variables para su cálculo.</t>
  </si>
  <si>
    <t>(32) INDICADOR ODS AL QUE LE APORTA</t>
  </si>
  <si>
    <t>Especifique el indicador asociados al Objetivo de Desarrollo Sostenible al cual le aporta  información de variables para su cálculo.</t>
  </si>
  <si>
    <t>Para dar cumplimiento a la meta programada en la vigencia se ejecutó contrato No. 0296 del 2023, cuyo objeto es: “ELABORAR LAS FASES DE APRESTAMIENTO Y DIAGNÓSTICO DEL PLAN DE MANEJO AMBIENTAL DE ACUÍFEROS (PMAA) DEL SISTEMA DE ACUÍFEROS DE SABANALARGA - TUBARÁ EN EL DEPARTAMENTO DEL ATLÁNTICO DE ACUERDO CON LA PRIORIZACIÓN DEFINIDA EN LOS CRITERIOS DEL DECRETO 1640 DE 2012, EN CUMPLIMIENTO DE LO ESTABLECIDO EN EL PLAN DE ACCIÓN INSTITUCIONAL 2020 – 2023”.  Se cuenta con los resultados de la fase de alistamiento y aprestamiento, obtenidos de la recopilación y análisis de información secundaria con la revisión y compilación cartográfica, estudios temáticos e instrumentos de gestión ambiental, permisos y autorizaciones ambientales, aspectos sociales, económicos y culturales, estudios hidrogeológicos regionales y locales. Cartografía escala 1:25.000 de resultados de la revisión de cartografía básica y temática, imágenes satelitales, ortofotos, debidamente referenciados en el Sistema de Referencia Espacial MAGNA SIRGAS del IGAC. Resultados de la clasificación y construcción de mapa de actores y sectores clave que hacen parte del PMAA.</t>
  </si>
  <si>
    <t xml:space="preserve">Para la presente vigencia 2023, la Corporación Autónoma Regional del Atlántico – C.R.A desarrollo acciones para dar cumplimiento a la meta, en el marco del contrato de obra No. 267 de 2023, cuyo objeto es: “MANTENIMIENTO Y OPERACIÓN DEL SISTEMA INTEGRAL DE CAPTACIÓN, TRATAMIENTO CON BIOTECNOLOGÍA Y REÚSO DE LAS AGUAS DEL ARROYO LEÓN PARA GARANTIZAR LA SOSTENIBILIDAD HÍDRICA Y AMBIENTAL DE LA CIÉNAGA DEL RINCÓN "LAGO DEL CISNE" EN EL DEPARTAMENTO DEL ATLÁNTICO".  </t>
  </si>
  <si>
    <t>Recuperación</t>
  </si>
  <si>
    <t>Para dar cumplimiento a la meta, la C.R.A suscribió el Convenio  No. 009 de 2023 con Alianza Publica para el Desarrollo Integral – ALDESARROLLO cuyo Objeto es : “AUNAR ESFUERZOS TÉCNICOS, ADMINISTRATIVOS, Y FINANCIEROS PARA DAR CONTINUIDAD AL DESARROLLO DE UN PROGRAMA DE FORTALECIMIENTO DE LA GESTIÓN AMBIENTAL SOSTENIBLE DE LOS RECURSOS NATURALES Y SECTORIALES, QUE CONTRIBUYA A LA CONSERVACIÓN DE LA BIODIVERSIDAD Y RIQUEZA DE LOS ECOSISTEMAS TERRESTRES Y MARINO COSTEROS DEL DEPARTAMENTO DEL ATLÁNTICO”, para la recuperación de  (50 Ha) de suelos deteriorados en los Municipios priorizados de Suan y Campo de la Cruz, conforme a directriz entregada por la entidad y/o identificada en fuentes de información secundarias.</t>
  </si>
  <si>
    <t>Con la ejecución del Convenio No. 001 de 2023 cuyo objeto es “DESARROLLO CONJUNTO DE ESTRATEGIAS DE EDUCACIÓN AMBIENTAL EN RELACIÓN CON LA CONSERVACIÓN DE LA BIODIVERSIDAD EN EL DEPARTAMENTO DEL ATLÁNTICO Y PROMOVER UN PROGRAMA DE CONSERVACIÓN DE ESPECIES DE FAUNA Y FLORA SILVESTRE CON ALGÚN RANGO DE AMENAZA CON LA PARTICIPACIÓN DE LAS COMUNIDADES LOCALES” 
Dentro de las actividades planteadas en el proyecto se encuentra declarar nuevas áreas protegidas en el departamento con registro ante el RUNAP, para ello se realizó la elaboración de un documento que presente una caracterización de la zona con información detallada en los aspectos climáticos, bióticos, abióticos, sociales, productivos, económicos y jurídicos elaborando la línea base relacionada con las problemáticas, restricciones y potencialidades del Cerro la Vieja.
Se realizó la convocatoria e inscripción de 50 miembros de la comunidad del municipio de Piojó para el proceso de la ruta crítica para la declaratoria del área potencial de reserva El Cerro la Vieja ubicada en el municipio de Piojó-Atlántico.</t>
  </si>
  <si>
    <t xml:space="preserve">La Corporación Autónoma Regional da cumplimiento a la meta, en el marco del Convenio No.001 de 2023 celebrado con la Corporación Universidad Americana cuyo Objeto es el “DESARROLLO CONJUNTO DE ESTRATEGIAS DE EDUCACIÓN AMBIENTAL EN RELACIÓN CON LA CONSERVACIÓN DE LA BIODIVERSIDAD EN EL DEPARTAMENTO DEL ATLÁNTICO Y PROMOVER UN PROGRAMA DE CONSERVACIÓN DE ESPECIES DE FAUNA Y FLORA SILVESTRE CON ALGÚN RANGO DE AMENAZA CON LA PARTICIPACIÓN DE LAS COMUNIDADES LOCALES”.
Dentro de las actividades planteadas en el convenio se encuentra brindar apoyo a la C.R.A en la Implementación medidas de prevención, control y manejo de las principales especies invasoras en el departamento, para lo cual se organizó un programa formativo para que la autoridad ambiental posicione a la población de dos Municipios: Sabanalarga y Repelón en la temática de especies exóticas e invasoras. 
En el proceso se encuentra la realización de dos programas de divulgación, manejo y uso sostenible de las especies: 
• La Tarulla (Eichhornia C.R.Assipes)
• Neem (Azadirachta indica)
</t>
  </si>
  <si>
    <t xml:space="preserve">La C.R.A. no cuenta con estaciones hidrometeorológicas, las estaciones de calidad de aire existentes en la CRA en la vigencia 2021 no estan reportando datos de calidad del aire, solo reportaron datos meteorológicos en la vigencia 2021.
En la vigencia 2022 se suscribió el convenio  convenio 002 desarrollo el objeto de “AUNAR ESFUERZOS TECNICOS, ADMINISTRATIVOS, y FINANCIEROS PARA APOYAR EL DESARROLLO DE PROGRAMA DE FORTALECIMIENTO DE LA GESTIÓN AMBIENTAL SOSTENIBLE DE LOS RECURSOS NATURALES SECTORIALES, QUE CONTRIBUYA A LA CONSERVACIÓN DE LA BIODIVERSIDAD y RIQUEZA DE LOS ECOSISTEMAS TERRESTRES y MARINO COSTEROS DEL DEPARTAMENTO DEL ATLÁNTICO” realizó el diagnóstico de la red actual de montoreo y estableció el rediseño del sistema de vigilancia para las estaciones del municipio de Galapa y Soledad.
Actualmente se ejecuta el convenio 009 del 2023 “Aunar esfuerzos técnicos, administrativos y financieros para dar continuidad al desarrollo de un Programa de Fortalecimiento de la Gestión Ambiental Sostenible de los Recursos Naturales y Sectoriales, que contribuya a la conservación de la biodiversidad y riqueza de los ecosistemas terrestres y marino costeros del departamento del Atlántico” para la seleccionar minino (2) dos de las (8) ocho estaciones de calidad de aire a ser intervenidas/armadas para funcionamiento conforme a los resultados del diagnóstico de equipos de la red de calidad de aire - Corporación Autónoma Regional del Atlántico. </t>
  </si>
  <si>
    <t>Teniendo en cuenta el Plan de Acción Institucional 2020-2023, la meta está contemplada para cumplirse en la vigencia 2023 (Acuerdo de aprobación del Consejo Directivo N°004 del 20 de mayo de 2020), mediante el programa:
Programa 2.3- Estrategias Regionales de Conservación
Proyecto 2.3.1: Areas Protegidas
2.3.1.5. Declarar nuevas Áreas Protegidas en el Departamento con registro ante el RUNAP</t>
  </si>
  <si>
    <t>Meta ajustada en Consejo Directivo mediante Acuerdo No. 008 de 2023 - Documento síntesis del proceso de declaratoria de áreas protegidas según el Decreto 1076 de 2015</t>
  </si>
  <si>
    <t>El SVCA consta de dos estaciones, están instaladas en EDUMAS – Secretaría de Medio Ambiente de Soledad (Atlántico) y Concejo Municipal de Malambo (Atlántico).</t>
  </si>
  <si>
    <t>Industrial extractivo</t>
  </si>
  <si>
    <t>Número de usuarios de vertimientos de agua a 31/12/2023</t>
  </si>
  <si>
    <t>Número de permisos de vertimiento de agua otorgadas a 31/12/2023</t>
  </si>
  <si>
    <t>Número de puntos de vertimientos a 31/12/2023</t>
  </si>
  <si>
    <t>Número de permisos de emisiones atmosféricas vigentes a 31/12/2023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</si>
</sst>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1" formatCode="_-* #,##0_-;\-* #,##0_-;_-* &quot;-&quot;_-;_-@_-"/>
    <numFmt numFmtId="44" formatCode="_-&quot;$&quot;\ * #,##0.00_-;\-&quot;$&quot;\ * #,##0.00_-;_-&quot;$&quot;\ * &quot;-&quot;??_-;_-@_-"/>
    <numFmt numFmtId="43" formatCode="_-* #,##0.00_-;\-* #,##0.00_-;_-* &quot;-&quot;??_-;_-@_-"/>
    <numFmt numFmtId="164" formatCode="0.0"/>
    <numFmt numFmtId="165" formatCode="_-* #,##0_-;\-* #,##0_-;_-* &quot;-&quot;??_-;_-@_-"/>
    <numFmt numFmtId="166" formatCode="_(* #,##0_);_(* \(#,##0\);_(* &quot;-&quot;??_);_(@_)"/>
    <numFmt numFmtId="167" formatCode="0.0%"/>
    <numFmt numFmtId="168" formatCode="[$$-240A]\ #,##0"/>
    <numFmt numFmtId="169" formatCode="&quot;$&quot;\ #,##0"/>
    <numFmt numFmtId="170" formatCode="_-&quot;$&quot;\ * #,##0_-;\-&quot;$&quot;\ * #,##0_-;_-&quot;$&quot;\ * &quot;-&quot;??_-;_-@_-"/>
    <numFmt numFmtId="171" formatCode="[$$-240A]\ #,##0.00"/>
    <numFmt numFmtId="172" formatCode="#,##0.0"/>
    <numFmt numFmtId="173" formatCode="[$$-240A]\ #,##0.0"/>
    <numFmt numFmtId="174" formatCode="0.000"/>
    <numFmt numFmtId="175" formatCode="_-* #,##0.00\ _€_-;\-* #,##0.00\ _€_-;_-* &quot;-&quot;??\ _€_-;_-@_-"/>
  </numFmts>
  <fonts count="106">
    <font>
      <sz val="11"/>
      <color theme="1"/>
      <name val="Calibri"/>
      <family val="2"/>
      <scheme val="minor"/>
    </font>
    <font>
      <sz val="11"/>
      <color rgb="FF006100"/>
      <name val="Calibri"/>
      <family val="2"/>
      <scheme val="minor"/>
    </font>
    <font>
      <b/>
      <sz val="11"/>
      <color rgb="FF000000"/>
      <name val="Calibri"/>
      <family val="2"/>
      <scheme val="minor"/>
    </font>
    <font>
      <b/>
      <sz val="9"/>
      <color rgb="FF000000"/>
      <name val="Calibri"/>
      <family val="2"/>
      <scheme val="minor"/>
    </font>
    <font>
      <sz val="9"/>
      <color rgb="FF000000"/>
      <name val="Calibri"/>
      <family val="2"/>
      <scheme val="minor"/>
    </font>
    <font>
      <b/>
      <i/>
      <sz val="9"/>
      <color rgb="FF000000"/>
      <name val="Calibri"/>
      <family val="2"/>
      <scheme val="minor"/>
    </font>
    <font>
      <i/>
      <sz val="9"/>
      <color rgb="FF000000"/>
      <name val="Calibri"/>
      <family val="2"/>
      <scheme val="minor"/>
    </font>
    <font>
      <sz val="9"/>
      <color theme="1"/>
      <name val="Calibri"/>
      <family val="2"/>
      <scheme val="minor"/>
    </font>
    <font>
      <sz val="8"/>
      <color rgb="FF000000"/>
      <name val="Calibri"/>
      <family val="2"/>
      <scheme val="minor"/>
    </font>
    <font>
      <sz val="9"/>
      <color rgb="FF000000"/>
      <name val="Calibri"/>
      <family val="2"/>
    </font>
    <font>
      <sz val="7"/>
      <color rgb="FF000000"/>
      <name val="Times New Roman"/>
      <family val="1"/>
    </font>
    <font>
      <vertAlign val="subscript"/>
      <sz val="9"/>
      <color rgb="FF000000"/>
      <name val="Calibri"/>
      <family val="2"/>
      <scheme val="minor"/>
    </font>
    <font>
      <b/>
      <u/>
      <sz val="9"/>
      <color rgb="FF000000"/>
      <name val="Calibri"/>
      <family val="2"/>
      <scheme val="minor"/>
    </font>
    <font>
      <i/>
      <sz val="7"/>
      <color rgb="FF000000"/>
      <name val="Times New Roman"/>
      <family val="1"/>
    </font>
    <font>
      <sz val="10"/>
      <color theme="1"/>
      <name val="Calibri"/>
      <family val="2"/>
      <scheme val="minor"/>
    </font>
    <font>
      <u/>
      <sz val="9"/>
      <color rgb="FF000000"/>
      <name val="Calibri"/>
      <family val="2"/>
      <scheme val="minor"/>
    </font>
    <font>
      <sz val="9"/>
      <color rgb="FF000000"/>
      <name val="Symbol"/>
      <family val="1"/>
      <charset val="2"/>
    </font>
    <font>
      <u/>
      <sz val="11"/>
      <color theme="10"/>
      <name val="Calibri"/>
      <family val="2"/>
      <scheme val="minor"/>
    </font>
    <font>
      <sz val="12"/>
      <color rgb="FF000000"/>
      <name val="Calibri"/>
      <family val="2"/>
    </font>
    <font>
      <sz val="7"/>
      <color rgb="FF000000"/>
      <name val="Calibri"/>
      <family val="2"/>
      <scheme val="minor"/>
    </font>
    <font>
      <b/>
      <i/>
      <sz val="9"/>
      <color indexed="8"/>
      <name val="Calibri"/>
      <family val="2"/>
      <scheme val="minor"/>
    </font>
    <font>
      <sz val="11"/>
      <color theme="1"/>
      <name val="Calibri"/>
      <family val="2"/>
      <scheme val="minor"/>
    </font>
    <font>
      <b/>
      <sz val="11"/>
      <color theme="1"/>
      <name val="Calibri"/>
      <family val="2"/>
      <scheme val="minor"/>
    </font>
    <font>
      <sz val="10"/>
      <color rgb="FF006100"/>
      <name val="Calibri"/>
      <family val="2"/>
      <scheme val="minor"/>
    </font>
    <font>
      <u/>
      <sz val="10"/>
      <color theme="10"/>
      <name val="Calibri"/>
      <family val="2"/>
      <scheme val="minor"/>
    </font>
    <font>
      <sz val="10"/>
      <color rgb="FF000000"/>
      <name val="Calibri"/>
      <family val="2"/>
      <scheme val="minor"/>
    </font>
    <font>
      <sz val="18"/>
      <color rgb="FF000000"/>
      <name val="Calibri"/>
      <family val="2"/>
      <scheme val="minor"/>
    </font>
    <font>
      <sz val="9"/>
      <color rgb="FFFF0000"/>
      <name val="Calibri"/>
      <family val="2"/>
      <scheme val="minor"/>
    </font>
    <font>
      <sz val="8"/>
      <color theme="1"/>
      <name val="Calibri"/>
      <family val="2"/>
      <scheme val="minor"/>
    </font>
    <font>
      <b/>
      <sz val="8"/>
      <color rgb="FF000000"/>
      <name val="Calibri"/>
      <family val="2"/>
      <scheme val="minor"/>
    </font>
    <font>
      <sz val="10"/>
      <name val="Arial Narrow"/>
      <family val="2"/>
    </font>
    <font>
      <b/>
      <sz val="12"/>
      <name val="Arial Narrow"/>
      <family val="2"/>
    </font>
    <font>
      <sz val="10"/>
      <name val="Arial"/>
      <family val="2"/>
    </font>
    <font>
      <b/>
      <sz val="10"/>
      <name val="Arial Narrow"/>
      <family val="2"/>
    </font>
    <font>
      <b/>
      <sz val="10"/>
      <name val="Arial"/>
      <family val="2"/>
    </font>
    <font>
      <sz val="10"/>
      <name val="Arial"/>
      <family val="2"/>
    </font>
    <font>
      <b/>
      <sz val="11"/>
      <color theme="1"/>
      <name val="Arial Narrow"/>
      <family val="2"/>
    </font>
    <font>
      <b/>
      <sz val="9"/>
      <color theme="1"/>
      <name val="Verdana"/>
      <family val="2"/>
    </font>
    <font>
      <b/>
      <sz val="9"/>
      <name val="Verdana"/>
      <family val="2"/>
    </font>
    <font>
      <sz val="9"/>
      <color theme="1"/>
      <name val="Verdana"/>
      <family val="2"/>
    </font>
    <font>
      <sz val="10"/>
      <color theme="1"/>
      <name val="Arial Narrow"/>
      <family val="2"/>
    </font>
    <font>
      <b/>
      <sz val="10"/>
      <color theme="1"/>
      <name val="Arial Narrow"/>
      <family val="2"/>
    </font>
    <font>
      <sz val="10"/>
      <color rgb="FF000000"/>
      <name val="Arial Narrow"/>
      <family val="2"/>
    </font>
    <font>
      <sz val="8"/>
      <name val="Calibri"/>
      <family val="2"/>
      <scheme val="minor"/>
    </font>
    <font>
      <sz val="9"/>
      <color indexed="81"/>
      <name val="Tahoma"/>
      <family val="2"/>
    </font>
    <font>
      <b/>
      <sz val="9"/>
      <color indexed="81"/>
      <name val="Tahoma"/>
      <family val="2"/>
    </font>
    <font>
      <sz val="11"/>
      <color rgb="FFFF0000"/>
      <name val="Calibri"/>
      <family val="2"/>
      <scheme val="minor"/>
    </font>
    <font>
      <sz val="10"/>
      <name val="Calibri"/>
      <family val="2"/>
      <scheme val="minor"/>
    </font>
    <font>
      <sz val="9"/>
      <color rgb="FF000000"/>
      <name val="Calibri "/>
    </font>
    <font>
      <sz val="9"/>
      <color theme="1"/>
      <name val="Calibri "/>
    </font>
    <font>
      <sz val="9"/>
      <name val="Calibri "/>
    </font>
    <font>
      <u/>
      <sz val="11"/>
      <color rgb="FF0070C0"/>
      <name val="Calibri"/>
      <family val="2"/>
      <scheme val="minor"/>
    </font>
    <font>
      <sz val="9"/>
      <color rgb="FF000000"/>
      <name val="Calibri Light"/>
      <family val="2"/>
      <scheme val="major"/>
    </font>
    <font>
      <sz val="9"/>
      <name val="Calibri Light"/>
      <family val="2"/>
      <scheme val="major"/>
    </font>
    <font>
      <sz val="9"/>
      <color theme="1"/>
      <name val="Calibri Light"/>
      <family val="2"/>
      <scheme val="major"/>
    </font>
    <font>
      <b/>
      <sz val="10"/>
      <color theme="1"/>
      <name val="Calibri"/>
      <family val="2"/>
      <scheme val="minor"/>
    </font>
    <font>
      <b/>
      <sz val="8"/>
      <color theme="1"/>
      <name val="Calibri"/>
      <family val="2"/>
      <scheme val="minor"/>
    </font>
    <font>
      <b/>
      <sz val="9"/>
      <color rgb="FFC00000"/>
      <name val="Calibri"/>
      <family val="2"/>
      <scheme val="minor"/>
    </font>
    <font>
      <b/>
      <sz val="8"/>
      <color rgb="FFC00000"/>
      <name val="Calibri"/>
      <family val="2"/>
      <scheme val="minor"/>
    </font>
    <font>
      <b/>
      <sz val="14"/>
      <color rgb="FF000000"/>
      <name val="Calibri"/>
      <family val="2"/>
      <scheme val="minor"/>
    </font>
    <font>
      <b/>
      <sz val="16"/>
      <color rgb="FF000000"/>
      <name val="Calibri"/>
      <family val="2"/>
      <scheme val="minor"/>
    </font>
    <font>
      <sz val="10"/>
      <color rgb="FF000000"/>
      <name val="Arial  N"/>
    </font>
    <font>
      <b/>
      <sz val="18"/>
      <color rgb="FF000000"/>
      <name val="Calibri"/>
      <family val="2"/>
      <scheme val="minor"/>
    </font>
    <font>
      <b/>
      <sz val="14"/>
      <name val="Calibri"/>
      <family val="2"/>
      <scheme val="minor"/>
    </font>
    <font>
      <b/>
      <sz val="16"/>
      <name val="Calibri"/>
      <family val="2"/>
      <scheme val="minor"/>
    </font>
    <font>
      <sz val="9"/>
      <name val="Calibri"/>
      <family val="2"/>
      <scheme val="minor"/>
    </font>
    <font>
      <sz val="8"/>
      <name val="Arial Narrow"/>
      <family val="2"/>
    </font>
    <font>
      <b/>
      <sz val="8"/>
      <name val="Arial Narrow"/>
      <family val="2"/>
    </font>
    <font>
      <b/>
      <sz val="14"/>
      <color rgb="FFC00000"/>
      <name val="Calibri"/>
      <family val="2"/>
      <scheme val="minor"/>
    </font>
    <font>
      <sz val="8"/>
      <color theme="1"/>
      <name val="Arial"/>
      <family val="2"/>
    </font>
    <font>
      <sz val="8"/>
      <color rgb="FF000000"/>
      <name val="Calibri "/>
    </font>
    <font>
      <sz val="9"/>
      <color rgb="FF000000"/>
      <name val="Arial Narrow"/>
      <family val="2"/>
    </font>
    <font>
      <b/>
      <sz val="10"/>
      <color rgb="FF006100"/>
      <name val="Calibri"/>
      <family val="2"/>
      <scheme val="minor"/>
    </font>
    <font>
      <i/>
      <sz val="9"/>
      <color theme="1" tint="4.9989318521683403E-2"/>
      <name val="Calibri"/>
      <family val="2"/>
      <scheme val="minor"/>
    </font>
    <font>
      <sz val="9"/>
      <color rgb="FFFF0000"/>
      <name val="Calibri "/>
    </font>
    <font>
      <sz val="10"/>
      <color rgb="FFFF0000"/>
      <name val="Arial Narrow"/>
      <family val="2"/>
    </font>
    <font>
      <b/>
      <sz val="9"/>
      <color theme="1"/>
      <name val="Calibri"/>
      <family val="2"/>
      <scheme val="minor"/>
    </font>
    <font>
      <sz val="10"/>
      <color rgb="FFFF0000"/>
      <name val="Calibri"/>
      <family val="2"/>
      <scheme val="minor"/>
    </font>
    <font>
      <b/>
      <sz val="9"/>
      <name val="Calibri"/>
      <family val="2"/>
      <scheme val="minor"/>
    </font>
    <font>
      <b/>
      <sz val="8"/>
      <name val="Calibri"/>
      <family val="2"/>
      <scheme val="minor"/>
    </font>
    <font>
      <sz val="11"/>
      <name val="Calibri"/>
      <family val="2"/>
    </font>
    <font>
      <b/>
      <sz val="20"/>
      <name val="Arial Narrow"/>
      <family val="2"/>
    </font>
    <font>
      <b/>
      <sz val="14"/>
      <name val="Arial Narrow"/>
      <family val="2"/>
    </font>
    <font>
      <sz val="11"/>
      <name val="Calibri"/>
      <family val="2"/>
      <scheme val="minor"/>
    </font>
    <font>
      <b/>
      <sz val="10"/>
      <color indexed="8"/>
      <name val="Arial Narrow"/>
      <family val="2"/>
    </font>
    <font>
      <b/>
      <sz val="14"/>
      <color rgb="FFC00000"/>
      <name val="Arial Narrow"/>
      <family val="2"/>
    </font>
    <font>
      <sz val="10"/>
      <color rgb="FF000000"/>
      <name val="Arial"/>
      <family val="2"/>
    </font>
    <font>
      <sz val="10"/>
      <color theme="1"/>
      <name val="Arial"/>
      <family val="2"/>
    </font>
    <font>
      <sz val="11"/>
      <name val="Arial"/>
      <family val="2"/>
    </font>
    <font>
      <sz val="10"/>
      <color theme="1"/>
      <name val="Calibri"/>
      <family val="2"/>
    </font>
    <font>
      <sz val="10"/>
      <color rgb="FFFF0000"/>
      <name val="Arial"/>
      <family val="2"/>
    </font>
    <font>
      <sz val="12"/>
      <color theme="1"/>
      <name val="Arial"/>
      <family val="2"/>
    </font>
    <font>
      <sz val="10"/>
      <name val="Calibri"/>
      <family val="2"/>
    </font>
    <font>
      <sz val="10"/>
      <color theme="1"/>
      <name val="Arial  N"/>
    </font>
    <font>
      <sz val="10"/>
      <color rgb="FF000000"/>
      <name val="Arial, sans-serif"/>
    </font>
    <font>
      <sz val="10"/>
      <color rgb="FFFF0000"/>
      <name val="Arial, sans-serif"/>
    </font>
    <font>
      <sz val="10"/>
      <name val="Arial  N"/>
    </font>
    <font>
      <sz val="10"/>
      <color rgb="FF444444"/>
      <name val="Arial Narrow"/>
      <family val="2"/>
    </font>
    <font>
      <b/>
      <sz val="10"/>
      <color indexed="10"/>
      <name val="Arial Narrow"/>
      <family val="2"/>
    </font>
    <font>
      <b/>
      <sz val="10"/>
      <color rgb="FFFF0000"/>
      <name val="Arial Narrow"/>
      <family val="2"/>
    </font>
    <font>
      <sz val="11"/>
      <color theme="1"/>
      <name val="Arial"/>
      <family val="2"/>
    </font>
    <font>
      <b/>
      <sz val="9"/>
      <name val="Arial Narrow"/>
      <family val="2"/>
    </font>
    <font>
      <b/>
      <sz val="7"/>
      <name val="Arial Narrow"/>
      <family val="2"/>
    </font>
    <font>
      <sz val="7"/>
      <name val="Arial Narrow"/>
      <family val="2"/>
    </font>
    <font>
      <u/>
      <sz val="7"/>
      <name val="Arial Narrow"/>
      <family val="2"/>
    </font>
    <font>
      <sz val="6"/>
      <color theme="1"/>
      <name val="Arial"/>
      <family val="2"/>
    </font>
  </fonts>
  <fills count="98">
    <fill>
      <patternFill patternType="none"/>
    </fill>
    <fill>
      <patternFill patternType="gray125"/>
    </fill>
    <fill>
      <patternFill patternType="solid">
        <fgColor rgb="FFC6EFCE"/>
      </patternFill>
    </fill>
    <fill>
      <patternFill patternType="solid">
        <fgColor rgb="FFFFFF00"/>
        <bgColor indexed="64"/>
      </patternFill>
    </fill>
    <fill>
      <patternFill patternType="solid">
        <fgColor rgb="FFD9D9D9"/>
        <bgColor indexed="64"/>
      </patternFill>
    </fill>
    <fill>
      <patternFill patternType="solid">
        <fgColor rgb="FFF7CAAC"/>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0"/>
        <bgColor indexed="64"/>
      </patternFill>
    </fill>
    <fill>
      <patternFill patternType="solid">
        <fgColor theme="7" tint="0.79998168889431442"/>
        <bgColor indexed="64"/>
      </patternFill>
    </fill>
    <fill>
      <patternFill patternType="solid">
        <fgColor theme="4" tint="-0.249977111117893"/>
        <bgColor indexed="64"/>
      </patternFill>
    </fill>
    <fill>
      <patternFill patternType="solid">
        <fgColor indexed="41"/>
        <bgColor indexed="64"/>
      </patternFill>
    </fill>
    <fill>
      <patternFill patternType="solid">
        <fgColor indexed="42"/>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F0000"/>
        <bgColor indexed="64"/>
      </patternFill>
    </fill>
    <fill>
      <patternFill patternType="solid">
        <fgColor rgb="FFFFFF00"/>
        <bgColor rgb="FF9FC5E8"/>
      </patternFill>
    </fill>
    <fill>
      <patternFill patternType="solid">
        <fgColor rgb="FFFFFF00"/>
        <bgColor rgb="FFC4F7A2"/>
      </patternFill>
    </fill>
    <fill>
      <patternFill patternType="solid">
        <fgColor rgb="FFFFFF00"/>
        <bgColor rgb="FFCFE2F3"/>
      </patternFill>
    </fill>
    <fill>
      <patternFill patternType="solid">
        <fgColor rgb="FFFFFF00"/>
        <bgColor rgb="FFFFFEA4"/>
      </patternFill>
    </fill>
    <fill>
      <patternFill patternType="solid">
        <fgColor rgb="FFFFFF00"/>
        <bgColor rgb="FFFAC7F3"/>
      </patternFill>
    </fill>
    <fill>
      <patternFill patternType="solid">
        <fgColor rgb="FFFFFF00"/>
        <bgColor rgb="FFFDFDC3"/>
      </patternFill>
    </fill>
    <fill>
      <patternFill patternType="solid">
        <fgColor rgb="FFFFFF00"/>
        <bgColor rgb="FFFF53D2"/>
      </patternFill>
    </fill>
    <fill>
      <patternFill patternType="solid">
        <fgColor rgb="FFFFFF00"/>
        <bgColor rgb="FFFF98E4"/>
      </patternFill>
    </fill>
    <fill>
      <patternFill patternType="solid">
        <fgColor rgb="FFFFFF99"/>
        <bgColor indexed="64"/>
      </patternFill>
    </fill>
    <fill>
      <patternFill patternType="solid">
        <fgColor theme="3" tint="0.79998168889431442"/>
        <bgColor indexed="64"/>
      </patternFill>
    </fill>
    <fill>
      <patternFill patternType="solid">
        <fgColor theme="0"/>
        <bgColor rgb="FFC4F7A2"/>
      </patternFill>
    </fill>
    <fill>
      <patternFill patternType="solid">
        <fgColor theme="0"/>
        <bgColor rgb="FFFFFE83"/>
      </patternFill>
    </fill>
    <fill>
      <patternFill patternType="solid">
        <fgColor theme="0"/>
        <bgColor rgb="FFFFFEA4"/>
      </patternFill>
    </fill>
    <fill>
      <patternFill patternType="solid">
        <fgColor theme="0"/>
        <bgColor rgb="FFFDFDC3"/>
      </patternFill>
    </fill>
    <fill>
      <patternFill patternType="solid">
        <fgColor rgb="FFFFFF00"/>
        <bgColor rgb="FFFFFE83"/>
      </patternFill>
    </fill>
    <fill>
      <patternFill patternType="solid">
        <fgColor theme="2" tint="-9.9978637043366805E-2"/>
        <bgColor indexed="64"/>
      </patternFill>
    </fill>
    <fill>
      <patternFill patternType="solid">
        <fgColor rgb="FFFFFF00"/>
        <bgColor rgb="FFFAAAE5"/>
      </patternFill>
    </fill>
    <fill>
      <patternFill patternType="solid">
        <fgColor rgb="FFFFFF00"/>
        <bgColor rgb="FFE0FACD"/>
      </patternFill>
    </fill>
    <fill>
      <patternFill patternType="solid">
        <fgColor rgb="FFFFFF00"/>
        <bgColor rgb="FFFFCBF1"/>
      </patternFill>
    </fill>
    <fill>
      <patternFill patternType="solid">
        <fgColor rgb="FFFFFF00"/>
        <bgColor rgb="FFFFD966"/>
      </patternFill>
    </fill>
    <fill>
      <patternFill patternType="solid">
        <fgColor rgb="FFFFFF00"/>
        <bgColor rgb="FFFF8EE1"/>
      </patternFill>
    </fill>
    <fill>
      <patternFill patternType="solid">
        <fgColor theme="9" tint="0.39997558519241921"/>
        <bgColor indexed="64"/>
      </patternFill>
    </fill>
    <fill>
      <patternFill patternType="solid">
        <fgColor theme="6" tint="0.79998168889431442"/>
        <bgColor indexed="64"/>
      </patternFill>
    </fill>
    <fill>
      <patternFill patternType="solid">
        <fgColor rgb="FF2E75B5"/>
        <bgColor rgb="FF2E75B5"/>
      </patternFill>
    </fill>
    <fill>
      <patternFill patternType="solid">
        <fgColor rgb="FFCCFFFF"/>
        <bgColor rgb="FFCCFFFF"/>
      </patternFill>
    </fill>
    <fill>
      <patternFill patternType="solid">
        <fgColor rgb="FFCCFFCC"/>
        <bgColor rgb="FFCCFFCC"/>
      </patternFill>
    </fill>
    <fill>
      <patternFill patternType="solid">
        <fgColor rgb="FFFFCC99"/>
        <bgColor rgb="FFFFCC99"/>
      </patternFill>
    </fill>
    <fill>
      <patternFill patternType="solid">
        <fgColor rgb="FFCCFFCC"/>
        <bgColor indexed="64"/>
      </patternFill>
    </fill>
    <fill>
      <patternFill patternType="solid">
        <fgColor rgb="FFFFFF99"/>
        <bgColor rgb="FFFFFF99"/>
      </patternFill>
    </fill>
    <fill>
      <patternFill patternType="solid">
        <fgColor indexed="43"/>
        <bgColor indexed="64"/>
      </patternFill>
    </fill>
    <fill>
      <patternFill patternType="solid">
        <fgColor rgb="FFFFFF00"/>
        <bgColor rgb="FFFFFF00"/>
      </patternFill>
    </fill>
    <fill>
      <patternFill patternType="solid">
        <fgColor theme="7" tint="0.59999389629810485"/>
        <bgColor rgb="FFFF99CC"/>
      </patternFill>
    </fill>
    <fill>
      <patternFill patternType="solid">
        <fgColor theme="7" tint="0.59999389629810485"/>
        <bgColor rgb="FFFFFF00"/>
      </patternFill>
    </fill>
    <fill>
      <patternFill patternType="solid">
        <fgColor rgb="FFFF99CC"/>
        <bgColor rgb="FFFF99CC"/>
      </patternFill>
    </fill>
    <fill>
      <patternFill patternType="solid">
        <fgColor rgb="FFFF00FF"/>
        <bgColor rgb="FFFF00FF"/>
      </patternFill>
    </fill>
    <fill>
      <patternFill patternType="solid">
        <fgColor indexed="11"/>
        <bgColor indexed="64"/>
      </patternFill>
    </fill>
    <fill>
      <patternFill patternType="solid">
        <fgColor rgb="FF92D050"/>
        <bgColor rgb="FFA8D08D"/>
      </patternFill>
    </fill>
    <fill>
      <patternFill patternType="solid">
        <fgColor rgb="FF92D050"/>
        <bgColor indexed="64"/>
      </patternFill>
    </fill>
    <fill>
      <patternFill patternType="solid">
        <fgColor rgb="FF99FF99"/>
        <bgColor rgb="FFA8D08D"/>
      </patternFill>
    </fill>
    <fill>
      <patternFill patternType="solid">
        <fgColor rgb="FF99FF99"/>
        <bgColor indexed="64"/>
      </patternFill>
    </fill>
    <fill>
      <patternFill patternType="solid">
        <fgColor rgb="FFCCFFCC"/>
        <bgColor rgb="FFA8D08D"/>
      </patternFill>
    </fill>
    <fill>
      <patternFill patternType="solid">
        <fgColor theme="0"/>
        <bgColor rgb="FF9FC5E8"/>
      </patternFill>
    </fill>
    <fill>
      <patternFill patternType="solid">
        <fgColor theme="0"/>
        <bgColor rgb="FFB7B7B7"/>
      </patternFill>
    </fill>
    <fill>
      <patternFill patternType="solid">
        <fgColor rgb="FFFFFFFF"/>
        <bgColor indexed="64"/>
      </patternFill>
    </fill>
    <fill>
      <patternFill patternType="solid">
        <fgColor theme="0"/>
        <bgColor rgb="FFCFE2F3"/>
      </patternFill>
    </fill>
    <fill>
      <patternFill patternType="solid">
        <fgColor rgb="FFE1FFE1"/>
        <bgColor indexed="64"/>
      </patternFill>
    </fill>
    <fill>
      <patternFill patternType="solid">
        <fgColor theme="0"/>
        <bgColor rgb="FFE7F4FF"/>
      </patternFill>
    </fill>
    <fill>
      <patternFill patternType="solid">
        <fgColor theme="0"/>
        <bgColor rgb="FFF1C232"/>
      </patternFill>
    </fill>
    <fill>
      <patternFill patternType="solid">
        <fgColor theme="0"/>
        <bgColor rgb="FFFF9900"/>
      </patternFill>
    </fill>
    <fill>
      <patternFill patternType="solid">
        <fgColor rgb="FF66FF66"/>
        <bgColor indexed="64"/>
      </patternFill>
    </fill>
    <fill>
      <patternFill patternType="solid">
        <fgColor rgb="FF00B0F0"/>
        <bgColor rgb="FFC4F7A2"/>
      </patternFill>
    </fill>
    <fill>
      <patternFill patternType="solid">
        <fgColor theme="0"/>
        <bgColor rgb="FFD5F8BD"/>
      </patternFill>
    </fill>
    <fill>
      <patternFill patternType="solid">
        <fgColor theme="0"/>
        <bgColor rgb="FFE0FACD"/>
      </patternFill>
    </fill>
    <fill>
      <patternFill patternType="solid">
        <fgColor theme="0"/>
        <bgColor rgb="FFDFFCCB"/>
      </patternFill>
    </fill>
    <fill>
      <patternFill patternType="solid">
        <fgColor theme="0"/>
        <bgColor rgb="FFECF8E3"/>
      </patternFill>
    </fill>
    <fill>
      <patternFill patternType="solid">
        <fgColor theme="0"/>
        <bgColor rgb="FFCCF1B0"/>
      </patternFill>
    </fill>
    <fill>
      <patternFill patternType="solid">
        <fgColor theme="0"/>
        <bgColor rgb="FFEDFFE0"/>
      </patternFill>
    </fill>
    <fill>
      <patternFill patternType="solid">
        <fgColor rgb="FF00B0F0"/>
        <bgColor indexed="64"/>
      </patternFill>
    </fill>
    <fill>
      <patternFill patternType="solid">
        <fgColor theme="0"/>
        <bgColor rgb="FFFF53D2"/>
      </patternFill>
    </fill>
    <fill>
      <patternFill patternType="solid">
        <fgColor theme="0"/>
        <bgColor rgb="FFFAAAE5"/>
      </patternFill>
    </fill>
    <fill>
      <patternFill patternType="solid">
        <fgColor theme="0"/>
        <bgColor rgb="FFFF98E4"/>
      </patternFill>
    </fill>
    <fill>
      <patternFill patternType="solid">
        <fgColor theme="0"/>
        <bgColor rgb="FFFFCBF1"/>
      </patternFill>
    </fill>
    <fill>
      <patternFill patternType="solid">
        <fgColor theme="0"/>
        <bgColor rgb="FFFFD966"/>
      </patternFill>
    </fill>
    <fill>
      <patternFill patternType="solid">
        <fgColor theme="0"/>
        <bgColor rgb="FFFFF2CC"/>
      </patternFill>
    </fill>
    <fill>
      <patternFill patternType="solid">
        <fgColor rgb="FFFF0000"/>
        <bgColor rgb="FFFAAAE5"/>
      </patternFill>
    </fill>
    <fill>
      <patternFill patternType="solid">
        <fgColor theme="7" tint="0.79998168889431442"/>
        <bgColor rgb="FFFFCBF1"/>
      </patternFill>
    </fill>
    <fill>
      <patternFill patternType="solid">
        <fgColor theme="0"/>
        <bgColor rgb="FFFFE599"/>
      </patternFill>
    </fill>
    <fill>
      <patternFill patternType="solid">
        <fgColor theme="0"/>
        <bgColor rgb="FFFF8EE1"/>
      </patternFill>
    </fill>
    <fill>
      <patternFill patternType="solid">
        <fgColor theme="0"/>
        <bgColor rgb="FFF191E4"/>
      </patternFill>
    </fill>
    <fill>
      <patternFill patternType="solid">
        <fgColor theme="0"/>
        <bgColor rgb="FFFAC7F3"/>
      </patternFill>
    </fill>
    <fill>
      <patternFill patternType="solid">
        <fgColor theme="7" tint="0.79998168889431442"/>
        <bgColor rgb="FFFFFEA4"/>
      </patternFill>
    </fill>
    <fill>
      <patternFill patternType="solid">
        <fgColor theme="7" tint="0.79998168889431442"/>
        <bgColor rgb="FFB7B7B7"/>
      </patternFill>
    </fill>
    <fill>
      <patternFill patternType="solid">
        <fgColor rgb="FFFFFF00"/>
        <bgColor rgb="FFB7B7B7"/>
      </patternFill>
    </fill>
    <fill>
      <patternFill patternType="solid">
        <fgColor theme="0"/>
        <bgColor rgb="FFCCCCCC"/>
      </patternFill>
    </fill>
    <fill>
      <patternFill patternType="solid">
        <fgColor theme="0"/>
        <bgColor rgb="FFEFEFEF"/>
      </patternFill>
    </fill>
    <fill>
      <patternFill patternType="solid">
        <fgColor theme="0"/>
        <bgColor rgb="FFB3CEFA"/>
      </patternFill>
    </fill>
    <fill>
      <patternFill patternType="solid">
        <fgColor rgb="FFFFFF00"/>
        <bgColor rgb="FFCCCCCC"/>
      </patternFill>
    </fill>
    <fill>
      <patternFill patternType="solid">
        <fgColor theme="7" tint="0.79998168889431442"/>
        <bgColor rgb="FFCCCCCC"/>
      </patternFill>
    </fill>
    <fill>
      <patternFill patternType="solid">
        <fgColor theme="0"/>
        <bgColor rgb="FFA8D08D"/>
      </patternFill>
    </fill>
  </fills>
  <borders count="79">
    <border>
      <left/>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bottom style="medium">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double">
        <color rgb="FFFF8001"/>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style="double">
        <color indexed="64"/>
      </left>
      <right/>
      <top/>
      <bottom style="double">
        <color indexed="64"/>
      </bottom>
      <diagonal/>
    </border>
    <border>
      <left style="double">
        <color indexed="64"/>
      </left>
      <right style="double">
        <color indexed="64"/>
      </right>
      <top/>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medium">
        <color indexed="64"/>
      </left>
      <right style="medium">
        <color indexed="64"/>
      </right>
      <top/>
      <bottom style="thin">
        <color rgb="FF000000"/>
      </bottom>
      <diagonal/>
    </border>
    <border>
      <left/>
      <right style="medium">
        <color indexed="64"/>
      </right>
      <top/>
      <bottom style="thin">
        <color rgb="FF000000"/>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diagonal/>
    </border>
    <border>
      <left/>
      <right/>
      <top/>
      <bottom style="thin">
        <color rgb="FF000000"/>
      </bottom>
      <diagonal/>
    </border>
    <border>
      <left/>
      <right/>
      <top style="thin">
        <color rgb="FF000000"/>
      </top>
      <bottom style="thin">
        <color rgb="FF000000"/>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rgb="FF000000"/>
      </left>
      <right/>
      <top/>
      <bottom/>
      <diagonal/>
    </border>
    <border>
      <left style="medium">
        <color rgb="FF000000"/>
      </left>
      <right/>
      <top/>
      <bottom style="thin">
        <color indexed="64"/>
      </bottom>
      <diagonal/>
    </border>
    <border>
      <left style="thin">
        <color rgb="FF000000"/>
      </left>
      <right style="thin">
        <color rgb="FF000000"/>
      </right>
      <top style="thin">
        <color rgb="FF000000"/>
      </top>
      <bottom style="thin">
        <color rgb="FF000000"/>
      </bottom>
      <diagonal/>
    </border>
    <border>
      <left/>
      <right style="medium">
        <color indexed="64"/>
      </right>
      <top style="thin">
        <color rgb="FF000000"/>
      </top>
      <bottom style="thin">
        <color rgb="FF000000"/>
      </bottom>
      <diagonal/>
    </border>
    <border>
      <left/>
      <right style="medium">
        <color indexed="8"/>
      </right>
      <top style="medium">
        <color indexed="64"/>
      </top>
      <bottom/>
      <diagonal/>
    </border>
  </borders>
  <cellStyleXfs count="12">
    <xf numFmtId="0" fontId="0" fillId="0" borderId="0"/>
    <xf numFmtId="0" fontId="1" fillId="2" borderId="0" applyNumberFormat="0" applyBorder="0" applyAlignment="0" applyProtection="0"/>
    <xf numFmtId="0" fontId="17" fillId="0" borderId="0" applyNumberForma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0" fontId="32" fillId="0" borderId="0"/>
    <xf numFmtId="4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cellStyleXfs>
  <cellXfs count="1787">
    <xf numFmtId="0" fontId="0" fillId="0" borderId="0" xfId="0"/>
    <xf numFmtId="0" fontId="4" fillId="0" borderId="0" xfId="0" applyFont="1" applyAlignment="1">
      <alignment vertical="top"/>
    </xf>
    <xf numFmtId="0" fontId="4" fillId="0" borderId="8" xfId="0" applyFont="1" applyBorder="1" applyAlignment="1">
      <alignment horizontal="center" vertical="top" wrapText="1"/>
    </xf>
    <xf numFmtId="0" fontId="3" fillId="0" borderId="0" xfId="0" applyFont="1" applyAlignment="1">
      <alignment vertical="top"/>
    </xf>
    <xf numFmtId="0" fontId="3" fillId="0" borderId="12" xfId="0" applyFont="1" applyBorder="1" applyAlignment="1">
      <alignment vertical="top" wrapText="1"/>
    </xf>
    <xf numFmtId="0" fontId="0" fillId="0" borderId="0" xfId="0" applyAlignment="1">
      <alignment vertical="top"/>
    </xf>
    <xf numFmtId="0" fontId="4" fillId="3" borderId="7" xfId="0" applyFont="1" applyFill="1" applyBorder="1" applyAlignment="1" applyProtection="1">
      <alignment horizontal="center" vertical="top" wrapText="1"/>
      <protection locked="0"/>
    </xf>
    <xf numFmtId="0" fontId="0" fillId="0" borderId="8" xfId="0" applyBorder="1"/>
    <xf numFmtId="0" fontId="0" fillId="0" borderId="5" xfId="0" applyBorder="1"/>
    <xf numFmtId="0" fontId="0" fillId="0" borderId="13" xfId="0" applyBorder="1"/>
    <xf numFmtId="0" fontId="0" fillId="0" borderId="6" xfId="0" applyBorder="1"/>
    <xf numFmtId="0" fontId="0" fillId="0" borderId="11" xfId="0" applyBorder="1"/>
    <xf numFmtId="0" fontId="4" fillId="0" borderId="8" xfId="0" applyFont="1" applyBorder="1" applyAlignment="1">
      <alignment horizontal="left" vertical="center" wrapText="1"/>
    </xf>
    <xf numFmtId="0" fontId="0" fillId="0" borderId="6" xfId="0" applyBorder="1" applyAlignment="1">
      <alignment vertical="top" wrapText="1"/>
    </xf>
    <xf numFmtId="0" fontId="0" fillId="7" borderId="16" xfId="0" applyFill="1" applyBorder="1" applyAlignment="1">
      <alignment vertical="top"/>
    </xf>
    <xf numFmtId="0" fontId="0" fillId="0" borderId="0" xfId="0" applyAlignment="1" applyProtection="1">
      <alignment vertical="top"/>
      <protection locked="0"/>
    </xf>
    <xf numFmtId="0" fontId="0" fillId="0" borderId="6" xfId="0" applyBorder="1" applyAlignment="1" applyProtection="1">
      <alignment vertical="top"/>
      <protection locked="0"/>
    </xf>
    <xf numFmtId="0" fontId="0" fillId="0" borderId="6" xfId="0" applyBorder="1" applyAlignment="1">
      <alignment vertical="top"/>
    </xf>
    <xf numFmtId="0" fontId="0" fillId="0" borderId="11" xfId="0" applyBorder="1" applyAlignment="1">
      <alignment vertical="top"/>
    </xf>
    <xf numFmtId="0" fontId="0" fillId="0" borderId="8" xfId="0" applyBorder="1" applyAlignment="1">
      <alignment vertical="top"/>
    </xf>
    <xf numFmtId="0" fontId="14" fillId="0" borderId="7" xfId="0" applyFont="1" applyBorder="1" applyAlignment="1">
      <alignment vertical="top"/>
    </xf>
    <xf numFmtId="0" fontId="9" fillId="0" borderId="6" xfId="0" applyFont="1" applyBorder="1" applyAlignment="1">
      <alignment vertical="top" wrapText="1"/>
    </xf>
    <xf numFmtId="0" fontId="14" fillId="0" borderId="8" xfId="0" applyFont="1" applyBorder="1" applyAlignment="1">
      <alignment vertical="top"/>
    </xf>
    <xf numFmtId="0" fontId="5" fillId="0" borderId="0" xfId="0" applyFont="1" applyAlignment="1">
      <alignment vertical="top"/>
    </xf>
    <xf numFmtId="0" fontId="4" fillId="3" borderId="8" xfId="0" applyFont="1" applyFill="1" applyBorder="1" applyAlignment="1" applyProtection="1">
      <alignment vertical="top" wrapText="1"/>
      <protection locked="0"/>
    </xf>
    <xf numFmtId="0" fontId="4" fillId="3" borderId="8" xfId="0" applyFont="1" applyFill="1" applyBorder="1" applyAlignment="1" applyProtection="1">
      <alignment vertical="top"/>
      <protection locked="0"/>
    </xf>
    <xf numFmtId="9" fontId="4" fillId="3" borderId="8" xfId="0" applyNumberFormat="1" applyFont="1" applyFill="1" applyBorder="1" applyAlignment="1" applyProtection="1">
      <alignment vertical="top"/>
      <protection locked="0"/>
    </xf>
    <xf numFmtId="9" fontId="4" fillId="0" borderId="8" xfId="0" applyNumberFormat="1" applyFont="1" applyBorder="1" applyAlignment="1" applyProtection="1">
      <alignment vertical="top"/>
      <protection locked="0"/>
    </xf>
    <xf numFmtId="0" fontId="4" fillId="0" borderId="12" xfId="0" applyFont="1" applyBorder="1" applyAlignment="1" applyProtection="1">
      <alignment vertical="top" wrapText="1"/>
      <protection locked="0"/>
    </xf>
    <xf numFmtId="0" fontId="7" fillId="0" borderId="0" xfId="0" applyFont="1" applyAlignment="1">
      <alignment vertical="top"/>
    </xf>
    <xf numFmtId="0" fontId="4" fillId="0" borderId="7" xfId="0" applyFont="1" applyBorder="1" applyAlignment="1">
      <alignment vertical="top"/>
    </xf>
    <xf numFmtId="0" fontId="4" fillId="0" borderId="8" xfId="0" applyFont="1" applyBorder="1" applyAlignment="1">
      <alignment vertical="top"/>
    </xf>
    <xf numFmtId="0" fontId="4" fillId="0" borderId="8" xfId="0" applyFont="1" applyBorder="1" applyAlignment="1">
      <alignment vertical="top" wrapText="1"/>
    </xf>
    <xf numFmtId="0" fontId="4" fillId="4" borderId="8" xfId="0" applyFont="1" applyFill="1" applyBorder="1" applyAlignment="1">
      <alignment vertical="top"/>
    </xf>
    <xf numFmtId="0" fontId="4" fillId="0" borderId="7" xfId="0" applyFont="1" applyBorder="1" applyAlignment="1">
      <alignment vertical="top" wrapText="1"/>
    </xf>
    <xf numFmtId="0" fontId="4" fillId="0" borderId="13" xfId="0" applyFont="1" applyBorder="1" applyAlignment="1">
      <alignment vertical="top"/>
    </xf>
    <xf numFmtId="0" fontId="4" fillId="0" borderId="6" xfId="0" applyFont="1" applyBorder="1" applyAlignment="1">
      <alignment vertical="top" wrapText="1"/>
    </xf>
    <xf numFmtId="0" fontId="4" fillId="0" borderId="13" xfId="0" applyFont="1" applyBorder="1" applyAlignment="1">
      <alignment vertical="top" wrapText="1"/>
    </xf>
    <xf numFmtId="0" fontId="5" fillId="0" borderId="8" xfId="0" applyFont="1" applyBorder="1" applyAlignment="1">
      <alignment vertical="top" wrapText="1"/>
    </xf>
    <xf numFmtId="17" fontId="4" fillId="0" borderId="13" xfId="0" applyNumberFormat="1" applyFont="1" applyBorder="1" applyAlignment="1">
      <alignment vertical="top" wrapText="1"/>
    </xf>
    <xf numFmtId="0" fontId="6" fillId="0" borderId="8" xfId="0" applyFont="1" applyBorder="1" applyAlignment="1">
      <alignment vertical="top" wrapText="1"/>
    </xf>
    <xf numFmtId="0" fontId="12" fillId="0" borderId="12" xfId="0" applyFont="1" applyBorder="1" applyAlignment="1">
      <alignment vertical="top" wrapText="1"/>
    </xf>
    <xf numFmtId="0" fontId="4" fillId="0" borderId="12" xfId="0" applyFont="1" applyBorder="1" applyAlignment="1">
      <alignment vertical="top" wrapText="1"/>
    </xf>
    <xf numFmtId="0" fontId="3" fillId="0" borderId="6" xfId="0" applyFont="1" applyBorder="1" applyAlignment="1">
      <alignment vertical="top" wrapText="1"/>
    </xf>
    <xf numFmtId="0" fontId="15" fillId="0" borderId="6" xfId="0" applyFont="1" applyBorder="1" applyAlignment="1">
      <alignment vertical="top" wrapText="1"/>
    </xf>
    <xf numFmtId="0" fontId="17" fillId="0" borderId="6" xfId="2" applyBorder="1" applyAlignment="1">
      <alignment vertical="top" wrapText="1"/>
    </xf>
    <xf numFmtId="0" fontId="17" fillId="0" borderId="8" xfId="2" applyBorder="1" applyAlignment="1">
      <alignment vertical="top" wrapText="1"/>
    </xf>
    <xf numFmtId="0" fontId="12" fillId="0" borderId="6" xfId="0" applyFont="1" applyBorder="1" applyAlignment="1">
      <alignment vertical="top" wrapText="1"/>
    </xf>
    <xf numFmtId="0" fontId="6" fillId="0" borderId="6" xfId="0" applyFont="1" applyBorder="1" applyAlignment="1">
      <alignment vertical="top" wrapText="1"/>
    </xf>
    <xf numFmtId="0" fontId="7" fillId="0" borderId="0" xfId="0" applyFont="1" applyAlignment="1">
      <alignment vertical="top" wrapText="1"/>
    </xf>
    <xf numFmtId="0" fontId="19" fillId="0" borderId="13" xfId="0" applyFont="1" applyBorder="1" applyAlignment="1">
      <alignment vertical="top" wrapText="1"/>
    </xf>
    <xf numFmtId="0" fontId="16" fillId="0" borderId="6" xfId="0" applyFont="1" applyBorder="1" applyAlignment="1">
      <alignment vertical="top" wrapText="1"/>
    </xf>
    <xf numFmtId="0" fontId="16" fillId="0" borderId="8" xfId="0" applyFont="1" applyBorder="1" applyAlignment="1">
      <alignment vertical="top" wrapText="1"/>
    </xf>
    <xf numFmtId="0" fontId="4" fillId="0" borderId="4" xfId="0" applyFont="1" applyBorder="1" applyAlignment="1">
      <alignment vertical="top" wrapText="1"/>
    </xf>
    <xf numFmtId="0" fontId="3" fillId="0" borderId="4" xfId="0" applyFont="1" applyBorder="1" applyAlignment="1">
      <alignment vertical="top" wrapText="1"/>
    </xf>
    <xf numFmtId="0" fontId="8" fillId="0" borderId="8" xfId="0" applyFont="1" applyBorder="1" applyAlignment="1">
      <alignment vertical="top" wrapText="1"/>
    </xf>
    <xf numFmtId="0" fontId="8" fillId="0" borderId="7" xfId="0" applyFont="1" applyBorder="1" applyAlignment="1">
      <alignment vertical="top" wrapText="1"/>
    </xf>
    <xf numFmtId="0" fontId="3" fillId="0" borderId="7" xfId="0" applyFont="1" applyBorder="1" applyAlignment="1">
      <alignment vertical="top"/>
    </xf>
    <xf numFmtId="0" fontId="3" fillId="0" borderId="8" xfId="0" applyFont="1" applyBorder="1" applyAlignment="1">
      <alignment vertical="top" wrapText="1"/>
    </xf>
    <xf numFmtId="0" fontId="3" fillId="0" borderId="7" xfId="0" applyFont="1" applyBorder="1" applyAlignment="1">
      <alignment vertical="top" wrapText="1"/>
    </xf>
    <xf numFmtId="0" fontId="15" fillId="0" borderId="8" xfId="0" applyFont="1" applyBorder="1" applyAlignment="1">
      <alignment vertical="top" wrapText="1"/>
    </xf>
    <xf numFmtId="0" fontId="8" fillId="0" borderId="13" xfId="0" applyFont="1" applyBorder="1" applyAlignment="1">
      <alignment vertical="top" wrapText="1"/>
    </xf>
    <xf numFmtId="0" fontId="0" fillId="3" borderId="16" xfId="0" applyFill="1" applyBorder="1" applyAlignment="1">
      <alignment vertical="top"/>
    </xf>
    <xf numFmtId="0" fontId="20" fillId="0" borderId="0" xfId="0" applyFont="1" applyAlignment="1">
      <alignment vertical="top"/>
    </xf>
    <xf numFmtId="0" fontId="4" fillId="0" borderId="0" xfId="0" applyFont="1" applyAlignment="1">
      <alignment horizontal="center" vertical="top"/>
    </xf>
    <xf numFmtId="0" fontId="6" fillId="0" borderId="0" xfId="0" applyFont="1" applyAlignment="1">
      <alignment horizontal="center" vertical="top" wrapText="1"/>
    </xf>
    <xf numFmtId="0" fontId="0" fillId="0" borderId="0" xfId="0" applyAlignment="1">
      <alignment horizontal="center" vertical="top"/>
    </xf>
    <xf numFmtId="0" fontId="7" fillId="0" borderId="0" xfId="0" applyFont="1" applyAlignment="1">
      <alignment horizontal="center" vertical="top"/>
    </xf>
    <xf numFmtId="0" fontId="4" fillId="0" borderId="2" xfId="0" applyFont="1" applyBorder="1" applyAlignment="1">
      <alignment horizontal="center" vertical="top" wrapText="1"/>
    </xf>
    <xf numFmtId="0" fontId="4" fillId="0" borderId="7" xfId="0" applyFont="1" applyBorder="1" applyAlignment="1">
      <alignment horizontal="center" vertical="top"/>
    </xf>
    <xf numFmtId="0" fontId="4" fillId="0" borderId="8" xfId="0" applyFont="1" applyBorder="1" applyAlignment="1">
      <alignment horizontal="center" vertical="top"/>
    </xf>
    <xf numFmtId="0" fontId="4" fillId="0" borderId="9" xfId="0" applyFont="1" applyBorder="1" applyAlignment="1">
      <alignment horizontal="center" vertical="top" wrapText="1"/>
    </xf>
    <xf numFmtId="0" fontId="4" fillId="0" borderId="10" xfId="0" applyFont="1" applyBorder="1" applyAlignment="1">
      <alignment horizontal="center" vertical="top" wrapText="1"/>
    </xf>
    <xf numFmtId="0" fontId="4" fillId="0" borderId="6" xfId="0" applyFont="1" applyBorder="1" applyAlignment="1">
      <alignment horizontal="center" vertical="top" wrapText="1"/>
    </xf>
    <xf numFmtId="0" fontId="3" fillId="0" borderId="0" xfId="0" applyFont="1" applyAlignment="1">
      <alignment horizontal="center" vertical="top"/>
    </xf>
    <xf numFmtId="0" fontId="3" fillId="0" borderId="0" xfId="0" applyFont="1" applyAlignment="1">
      <alignment horizontal="center" vertical="top" wrapText="1"/>
    </xf>
    <xf numFmtId="0" fontId="12" fillId="0" borderId="0" xfId="0" applyFont="1" applyAlignment="1">
      <alignment horizontal="center" vertical="top" wrapText="1"/>
    </xf>
    <xf numFmtId="0" fontId="4" fillId="0" borderId="7" xfId="0" applyFont="1" applyBorder="1" applyAlignment="1">
      <alignment horizontal="center" vertical="top" wrapText="1"/>
    </xf>
    <xf numFmtId="0" fontId="4" fillId="0" borderId="1" xfId="0" applyFont="1" applyBorder="1" applyAlignment="1">
      <alignment horizontal="center" vertical="top" wrapText="1"/>
    </xf>
    <xf numFmtId="0" fontId="4" fillId="0" borderId="13" xfId="0" applyFont="1" applyBorder="1" applyAlignment="1">
      <alignment horizontal="center" vertical="top" wrapText="1"/>
    </xf>
    <xf numFmtId="0" fontId="4" fillId="0" borderId="0" xfId="0" applyFont="1" applyAlignment="1">
      <alignment horizontal="center" vertical="top" wrapText="1"/>
    </xf>
    <xf numFmtId="0" fontId="8" fillId="0" borderId="2" xfId="0" applyFont="1" applyBorder="1" applyAlignment="1">
      <alignment horizontal="center" vertical="top" wrapText="1"/>
    </xf>
    <xf numFmtId="0" fontId="8" fillId="0" borderId="9" xfId="0" applyFont="1" applyBorder="1" applyAlignment="1">
      <alignment horizontal="center" vertical="top" wrapText="1"/>
    </xf>
    <xf numFmtId="0" fontId="19" fillId="0" borderId="10" xfId="0" applyFont="1" applyBorder="1" applyAlignment="1">
      <alignment horizontal="center" vertical="top" wrapText="1"/>
    </xf>
    <xf numFmtId="0" fontId="4" fillId="0" borderId="4" xfId="0" applyFont="1" applyBorder="1" applyAlignment="1">
      <alignment horizontal="center" vertical="top" wrapText="1"/>
    </xf>
    <xf numFmtId="0" fontId="3" fillId="0" borderId="8" xfId="0" applyFont="1" applyBorder="1" applyAlignment="1">
      <alignment horizontal="center" vertical="top" wrapText="1"/>
    </xf>
    <xf numFmtId="0" fontId="8" fillId="0" borderId="10" xfId="0" applyFont="1" applyBorder="1" applyAlignment="1">
      <alignment horizontal="center" vertical="top" wrapText="1"/>
    </xf>
    <xf numFmtId="0" fontId="8" fillId="0" borderId="6" xfId="0" applyFont="1" applyBorder="1" applyAlignment="1">
      <alignment horizontal="center" vertical="top" wrapText="1"/>
    </xf>
    <xf numFmtId="0" fontId="14" fillId="0" borderId="8" xfId="0" applyFont="1" applyBorder="1" applyAlignment="1">
      <alignment horizontal="center" vertical="top"/>
    </xf>
    <xf numFmtId="0" fontId="0" fillId="0" borderId="1" xfId="0" applyBorder="1" applyAlignment="1" applyProtection="1">
      <alignment vertical="top"/>
      <protection locked="0"/>
    </xf>
    <xf numFmtId="0" fontId="0" fillId="0" borderId="5" xfId="0" applyBorder="1" applyAlignment="1" applyProtection="1">
      <alignment vertical="top"/>
      <protection locked="0"/>
    </xf>
    <xf numFmtId="0" fontId="0" fillId="0" borderId="13" xfId="0" applyBorder="1" applyAlignment="1" applyProtection="1">
      <alignment vertical="top"/>
      <protection locked="0"/>
    </xf>
    <xf numFmtId="0" fontId="0" fillId="0" borderId="1" xfId="0" applyBorder="1" applyAlignment="1">
      <alignment vertical="top"/>
    </xf>
    <xf numFmtId="0" fontId="0" fillId="0" borderId="5" xfId="0" applyBorder="1" applyAlignment="1">
      <alignment vertical="top"/>
    </xf>
    <xf numFmtId="0" fontId="0" fillId="0" borderId="13" xfId="0" applyBorder="1" applyAlignment="1">
      <alignment vertical="top"/>
    </xf>
    <xf numFmtId="0" fontId="0" fillId="0" borderId="1" xfId="0" applyBorder="1"/>
    <xf numFmtId="0" fontId="4" fillId="4" borderId="13" xfId="0" applyFont="1" applyFill="1" applyBorder="1" applyAlignment="1">
      <alignment horizontal="left" vertical="center" wrapText="1"/>
    </xf>
    <xf numFmtId="0" fontId="12" fillId="0" borderId="14" xfId="0" applyFont="1" applyBorder="1" applyAlignment="1">
      <alignment vertical="top"/>
    </xf>
    <xf numFmtId="0" fontId="12" fillId="0" borderId="15" xfId="0" applyFont="1" applyBorder="1" applyAlignment="1">
      <alignment vertical="top"/>
    </xf>
    <xf numFmtId="0" fontId="12" fillId="0" borderId="7" xfId="0" applyFont="1" applyBorder="1" applyAlignment="1">
      <alignment vertical="top"/>
    </xf>
    <xf numFmtId="0" fontId="12" fillId="0" borderId="14" xfId="0" applyFont="1" applyBorder="1" applyAlignment="1">
      <alignment vertical="top" wrapText="1"/>
    </xf>
    <xf numFmtId="0" fontId="12" fillId="0" borderId="15" xfId="0" applyFont="1" applyBorder="1" applyAlignment="1">
      <alignment vertical="top" wrapText="1"/>
    </xf>
    <xf numFmtId="0" fontId="12" fillId="0" borderId="7" xfId="0" applyFont="1" applyBorder="1" applyAlignment="1">
      <alignment vertical="top" wrapText="1"/>
    </xf>
    <xf numFmtId="0" fontId="4" fillId="0" borderId="11" xfId="0" applyFont="1" applyBorder="1" applyAlignment="1">
      <alignment vertical="top" wrapText="1"/>
    </xf>
    <xf numFmtId="0" fontId="4" fillId="0" borderId="14" xfId="0" applyFont="1" applyBorder="1" applyAlignment="1">
      <alignment vertical="top"/>
    </xf>
    <xf numFmtId="0" fontId="4" fillId="0" borderId="15" xfId="0" applyFont="1" applyBorder="1" applyAlignment="1">
      <alignment vertical="top"/>
    </xf>
    <xf numFmtId="0" fontId="3" fillId="0" borderId="1" xfId="0" applyFont="1" applyBorder="1" applyAlignment="1">
      <alignment vertical="top" wrapText="1"/>
    </xf>
    <xf numFmtId="0" fontId="4" fillId="0" borderId="0" xfId="0" applyFont="1" applyAlignment="1">
      <alignment vertical="top" wrapText="1"/>
    </xf>
    <xf numFmtId="0" fontId="0" fillId="0" borderId="0" xfId="0" applyAlignment="1">
      <alignment horizontal="left" vertical="top"/>
    </xf>
    <xf numFmtId="0" fontId="0" fillId="0" borderId="0" xfId="0" applyAlignment="1">
      <alignment horizontal="left"/>
    </xf>
    <xf numFmtId="0" fontId="0" fillId="0" borderId="0" xfId="0" applyAlignment="1">
      <alignment horizontal="center"/>
    </xf>
    <xf numFmtId="3" fontId="4" fillId="4" borderId="8" xfId="0" applyNumberFormat="1" applyFont="1" applyFill="1" applyBorder="1" applyAlignment="1">
      <alignment vertical="top"/>
    </xf>
    <xf numFmtId="3" fontId="4" fillId="4" borderId="13" xfId="0" applyNumberFormat="1" applyFont="1" applyFill="1" applyBorder="1" applyAlignment="1">
      <alignment vertical="top"/>
    </xf>
    <xf numFmtId="3" fontId="4" fillId="4" borderId="13" xfId="0" applyNumberFormat="1" applyFont="1" applyFill="1" applyBorder="1" applyAlignment="1">
      <alignment horizontal="center" vertical="top"/>
    </xf>
    <xf numFmtId="9" fontId="4" fillId="4" borderId="12" xfId="3" applyFont="1" applyFill="1" applyBorder="1" applyAlignment="1">
      <alignment horizontal="center" vertical="top"/>
    </xf>
    <xf numFmtId="3" fontId="4" fillId="4" borderId="13" xfId="0" applyNumberFormat="1" applyFont="1" applyFill="1" applyBorder="1" applyAlignment="1">
      <alignment horizontal="right" vertical="top"/>
    </xf>
    <xf numFmtId="9" fontId="4" fillId="4" borderId="12" xfId="3" applyFont="1" applyFill="1" applyBorder="1" applyAlignment="1">
      <alignment vertical="top" wrapText="1"/>
    </xf>
    <xf numFmtId="9" fontId="4" fillId="4" borderId="8" xfId="3" applyFont="1" applyFill="1" applyBorder="1" applyAlignment="1">
      <alignment vertical="top"/>
    </xf>
    <xf numFmtId="9" fontId="4" fillId="4" borderId="8" xfId="0" applyNumberFormat="1" applyFont="1" applyFill="1" applyBorder="1" applyAlignment="1">
      <alignment vertical="top"/>
    </xf>
    <xf numFmtId="3" fontId="4" fillId="3" borderId="7" xfId="0" applyNumberFormat="1" applyFont="1" applyFill="1" applyBorder="1" applyAlignment="1" applyProtection="1">
      <alignment horizontal="right" vertical="top" wrapText="1"/>
      <protection locked="0"/>
    </xf>
    <xf numFmtId="9" fontId="4" fillId="4" borderId="12" xfId="3" applyFont="1" applyFill="1" applyBorder="1" applyAlignment="1">
      <alignment horizontal="center" vertical="center"/>
    </xf>
    <xf numFmtId="9" fontId="4" fillId="4" borderId="12" xfId="3" applyFont="1" applyFill="1" applyBorder="1" applyAlignment="1">
      <alignment horizontal="center" vertical="top" wrapText="1"/>
    </xf>
    <xf numFmtId="0" fontId="4" fillId="4" borderId="12" xfId="0" applyFont="1" applyFill="1" applyBorder="1" applyAlignment="1">
      <alignment horizontal="center" vertical="top" wrapText="1"/>
    </xf>
    <xf numFmtId="0" fontId="4" fillId="6" borderId="8" xfId="0" applyFont="1" applyFill="1" applyBorder="1" applyAlignment="1">
      <alignment horizontal="center" vertical="top" wrapText="1"/>
    </xf>
    <xf numFmtId="0" fontId="4" fillId="6" borderId="7" xfId="0" applyFont="1" applyFill="1" applyBorder="1" applyAlignment="1" applyProtection="1">
      <alignment horizontal="center" vertical="top" wrapText="1"/>
      <protection locked="0"/>
    </xf>
    <xf numFmtId="9" fontId="4" fillId="6" borderId="12" xfId="3" applyFont="1" applyFill="1" applyBorder="1" applyAlignment="1">
      <alignment horizontal="center" vertical="top" wrapText="1"/>
    </xf>
    <xf numFmtId="9" fontId="4" fillId="6" borderId="8" xfId="3" applyFont="1" applyFill="1" applyBorder="1" applyAlignment="1">
      <alignment horizontal="center" vertical="top" wrapText="1"/>
    </xf>
    <xf numFmtId="9" fontId="4" fillId="4" borderId="7" xfId="0" applyNumberFormat="1" applyFont="1" applyFill="1" applyBorder="1" applyAlignment="1">
      <alignment horizontal="center" vertical="top"/>
    </xf>
    <xf numFmtId="9" fontId="4" fillId="4" borderId="8" xfId="0" applyNumberFormat="1" applyFont="1" applyFill="1" applyBorder="1" applyAlignment="1">
      <alignment horizontal="center" vertical="top"/>
    </xf>
    <xf numFmtId="0" fontId="22" fillId="0" borderId="0" xfId="0" applyFont="1" applyAlignment="1">
      <alignment vertical="top"/>
    </xf>
    <xf numFmtId="9" fontId="4" fillId="3" borderId="8" xfId="0" applyNumberFormat="1" applyFont="1" applyFill="1" applyBorder="1" applyAlignment="1" applyProtection="1">
      <alignment horizontal="center" vertical="top"/>
      <protection locked="0"/>
    </xf>
    <xf numFmtId="9" fontId="4" fillId="4" borderId="14" xfId="0" applyNumberFormat="1" applyFont="1" applyFill="1" applyBorder="1" applyAlignment="1">
      <alignment horizontal="center" vertical="top"/>
    </xf>
    <xf numFmtId="0" fontId="0" fillId="0" borderId="16" xfId="0" applyBorder="1"/>
    <xf numFmtId="0" fontId="4" fillId="3" borderId="8" xfId="0" applyFont="1" applyFill="1" applyBorder="1" applyAlignment="1" applyProtection="1">
      <alignment horizontal="left" vertical="top"/>
      <protection locked="0"/>
    </xf>
    <xf numFmtId="0" fontId="3" fillId="3" borderId="24" xfId="0" applyFont="1" applyFill="1" applyBorder="1" applyAlignment="1">
      <alignment horizontal="left" vertical="top" wrapText="1"/>
    </xf>
    <xf numFmtId="0" fontId="3" fillId="3" borderId="25" xfId="0" applyFont="1" applyFill="1" applyBorder="1" applyAlignment="1">
      <alignment horizontal="left" vertical="top" wrapText="1"/>
    </xf>
    <xf numFmtId="0" fontId="3" fillId="3" borderId="26" xfId="0" applyFont="1" applyFill="1" applyBorder="1" applyAlignment="1">
      <alignment horizontal="left" vertical="top" wrapText="1"/>
    </xf>
    <xf numFmtId="0" fontId="12" fillId="0" borderId="14" xfId="0" applyFont="1" applyBorder="1" applyAlignment="1">
      <alignment horizontal="left" vertical="top"/>
    </xf>
    <xf numFmtId="0" fontId="4" fillId="5" borderId="8" xfId="0" applyFont="1" applyFill="1" applyBorder="1" applyAlignment="1" applyProtection="1">
      <alignment horizontal="left" vertical="top"/>
      <protection locked="0"/>
    </xf>
    <xf numFmtId="0" fontId="4" fillId="5" borderId="8" xfId="0" applyFont="1" applyFill="1" applyBorder="1" applyAlignment="1">
      <alignment vertical="top"/>
    </xf>
    <xf numFmtId="0" fontId="4" fillId="0" borderId="14" xfId="0" applyFont="1" applyBorder="1" applyAlignment="1">
      <alignment horizontal="left" vertical="top"/>
    </xf>
    <xf numFmtId="0" fontId="4" fillId="5" borderId="8" xfId="0" applyFont="1" applyFill="1" applyBorder="1" applyAlignment="1">
      <alignment horizontal="left" vertical="top" wrapText="1"/>
    </xf>
    <xf numFmtId="0" fontId="4" fillId="5" borderId="8" xfId="0" applyFont="1" applyFill="1" applyBorder="1" applyAlignment="1">
      <alignment horizontal="left" vertical="top"/>
    </xf>
    <xf numFmtId="0" fontId="7" fillId="0" borderId="0" xfId="0" applyFont="1" applyAlignment="1">
      <alignment horizontal="right" vertical="top"/>
    </xf>
    <xf numFmtId="0" fontId="4" fillId="0" borderId="0" xfId="0" applyFont="1" applyAlignment="1">
      <alignment horizontal="right" vertical="top"/>
    </xf>
    <xf numFmtId="0" fontId="0" fillId="0" borderId="0" xfId="0" applyAlignment="1">
      <alignment horizontal="right" vertical="top"/>
    </xf>
    <xf numFmtId="0" fontId="0" fillId="0" borderId="0" xfId="0" applyAlignment="1">
      <alignment horizontal="left" vertical="top" wrapText="1"/>
    </xf>
    <xf numFmtId="0" fontId="22" fillId="0" borderId="0" xfId="0" applyFont="1"/>
    <xf numFmtId="9" fontId="4" fillId="4" borderId="12" xfId="3" applyFont="1" applyFill="1" applyBorder="1" applyAlignment="1" applyProtection="1">
      <alignment horizontal="center" vertical="top"/>
    </xf>
    <xf numFmtId="3" fontId="4" fillId="3" borderId="8" xfId="0" applyNumberFormat="1" applyFont="1" applyFill="1" applyBorder="1" applyAlignment="1" applyProtection="1">
      <alignment vertical="top" wrapText="1"/>
      <protection locked="0"/>
    </xf>
    <xf numFmtId="0" fontId="0" fillId="3" borderId="16" xfId="0" applyFill="1" applyBorder="1" applyAlignment="1" applyProtection="1">
      <alignment vertical="top"/>
      <protection locked="0"/>
    </xf>
    <xf numFmtId="0" fontId="0" fillId="0" borderId="0" xfId="0" applyProtection="1">
      <protection locked="0"/>
    </xf>
    <xf numFmtId="9" fontId="25" fillId="6" borderId="8" xfId="0" applyNumberFormat="1" applyFont="1" applyFill="1" applyBorder="1" applyAlignment="1">
      <alignment horizontal="center" vertical="top"/>
    </xf>
    <xf numFmtId="9" fontId="4" fillId="4" borderId="14" xfId="0" applyNumberFormat="1" applyFont="1" applyFill="1" applyBorder="1" applyAlignment="1">
      <alignment horizontal="right" vertical="top"/>
    </xf>
    <xf numFmtId="9" fontId="26" fillId="4" borderId="8" xfId="0" applyNumberFormat="1" applyFont="1" applyFill="1" applyBorder="1" applyAlignment="1">
      <alignment vertical="top"/>
    </xf>
    <xf numFmtId="0" fontId="14" fillId="0" borderId="16" xfId="0" applyFont="1" applyBorder="1"/>
    <xf numFmtId="0" fontId="4" fillId="0" borderId="4" xfId="0" applyFont="1" applyBorder="1" applyAlignment="1">
      <alignment horizontal="center" vertical="center" wrapText="1"/>
    </xf>
    <xf numFmtId="0" fontId="4" fillId="0" borderId="8" xfId="0" applyFont="1" applyBorder="1" applyAlignment="1">
      <alignment horizontal="center" vertical="center" wrapText="1"/>
    </xf>
    <xf numFmtId="0" fontId="8" fillId="0" borderId="8" xfId="0" applyFont="1" applyBorder="1" applyAlignment="1">
      <alignment horizontal="center" vertical="center" wrapText="1"/>
    </xf>
    <xf numFmtId="0" fontId="4" fillId="0" borderId="12" xfId="0" applyFont="1" applyBorder="1" applyAlignment="1">
      <alignment horizontal="center" vertical="top" wrapText="1"/>
    </xf>
    <xf numFmtId="9" fontId="4" fillId="6" borderId="8" xfId="3" applyFont="1" applyFill="1" applyBorder="1" applyAlignment="1">
      <alignment horizontal="center" vertical="top"/>
    </xf>
    <xf numFmtId="9" fontId="8" fillId="4" borderId="14" xfId="0" applyNumberFormat="1" applyFont="1" applyFill="1" applyBorder="1" applyAlignment="1">
      <alignment horizontal="distributed" vertical="top"/>
    </xf>
    <xf numFmtId="0" fontId="4" fillId="3" borderId="7" xfId="0" applyFont="1" applyFill="1" applyBorder="1" applyAlignment="1" applyProtection="1">
      <alignment horizontal="center" vertical="top"/>
      <protection locked="0"/>
    </xf>
    <xf numFmtId="3" fontId="4" fillId="3" borderId="8" xfId="0" applyNumberFormat="1" applyFont="1" applyFill="1" applyBorder="1" applyAlignment="1" applyProtection="1">
      <alignment vertical="top"/>
      <protection locked="0"/>
    </xf>
    <xf numFmtId="165" fontId="4" fillId="4" borderId="12" xfId="4" applyNumberFormat="1" applyFont="1" applyFill="1" applyBorder="1" applyAlignment="1">
      <alignment horizontal="center" vertical="top" wrapText="1"/>
    </xf>
    <xf numFmtId="9" fontId="25" fillId="6" borderId="8" xfId="3" applyFont="1" applyFill="1" applyBorder="1" applyAlignment="1">
      <alignment horizontal="center" vertical="top" wrapText="1"/>
    </xf>
    <xf numFmtId="0" fontId="0" fillId="3" borderId="30" xfId="0" applyFill="1" applyBorder="1" applyAlignment="1">
      <alignment vertical="top"/>
    </xf>
    <xf numFmtId="0" fontId="23" fillId="6" borderId="18" xfId="0" applyFont="1" applyFill="1" applyBorder="1" applyAlignment="1">
      <alignment vertical="top"/>
    </xf>
    <xf numFmtId="0" fontId="0" fillId="6" borderId="20" xfId="0" applyFill="1" applyBorder="1" applyAlignment="1">
      <alignment vertical="top"/>
    </xf>
    <xf numFmtId="9" fontId="0" fillId="8" borderId="12" xfId="0" applyNumberFormat="1" applyFill="1" applyBorder="1" applyAlignment="1">
      <alignment horizontal="center" vertical="top"/>
    </xf>
    <xf numFmtId="9" fontId="0" fillId="0" borderId="0" xfId="3" applyFont="1"/>
    <xf numFmtId="9" fontId="0" fillId="6" borderId="12" xfId="0" applyNumberFormat="1" applyFill="1" applyBorder="1" applyAlignment="1">
      <alignment horizontal="center" vertical="top"/>
    </xf>
    <xf numFmtId="0" fontId="4" fillId="0" borderId="5" xfId="0" applyFont="1" applyBorder="1" applyAlignment="1" applyProtection="1">
      <alignment vertical="top" wrapText="1"/>
      <protection locked="0"/>
    </xf>
    <xf numFmtId="0" fontId="4" fillId="0" borderId="13" xfId="0" applyFont="1" applyBorder="1" applyAlignment="1" applyProtection="1">
      <alignment vertical="top" wrapText="1"/>
      <protection locked="0"/>
    </xf>
    <xf numFmtId="0" fontId="4" fillId="0" borderId="7" xfId="0" applyFont="1" applyBorder="1" applyAlignment="1" applyProtection="1">
      <alignment vertical="top" wrapText="1"/>
      <protection locked="0"/>
    </xf>
    <xf numFmtId="0" fontId="4" fillId="0" borderId="5" xfId="0" applyFont="1" applyBorder="1" applyAlignment="1">
      <alignment vertical="top" wrapText="1"/>
    </xf>
    <xf numFmtId="0" fontId="4" fillId="0" borderId="8" xfId="0" applyFont="1" applyBorder="1" applyAlignment="1" applyProtection="1">
      <alignment horizontal="center" vertical="top" wrapText="1"/>
      <protection locked="0"/>
    </xf>
    <xf numFmtId="0" fontId="4" fillId="0" borderId="14" xfId="0" applyFont="1" applyBorder="1" applyAlignment="1" applyProtection="1">
      <alignment vertical="top"/>
      <protection locked="0"/>
    </xf>
    <xf numFmtId="0" fontId="4" fillId="0" borderId="7" xfId="0" applyFont="1" applyBorder="1" applyAlignment="1" applyProtection="1">
      <alignment vertical="top"/>
      <protection locked="0"/>
    </xf>
    <xf numFmtId="0" fontId="8" fillId="0" borderId="5" xfId="0" applyFont="1" applyBorder="1" applyAlignment="1" applyProtection="1">
      <alignment vertical="top" wrapText="1"/>
      <protection locked="0"/>
    </xf>
    <xf numFmtId="0" fontId="4" fillId="0" borderId="6" xfId="0" applyFont="1" applyBorder="1" applyAlignment="1" applyProtection="1">
      <alignment horizontal="center" vertical="top" wrapText="1"/>
      <protection locked="0"/>
    </xf>
    <xf numFmtId="0" fontId="0" fillId="7" borderId="20" xfId="0" applyFill="1" applyBorder="1" applyAlignment="1">
      <alignment vertical="top"/>
    </xf>
    <xf numFmtId="0" fontId="4" fillId="6" borderId="8" xfId="0" applyFont="1" applyFill="1" applyBorder="1" applyAlignment="1" applyProtection="1">
      <alignment horizontal="left" vertical="top"/>
      <protection locked="0"/>
    </xf>
    <xf numFmtId="0" fontId="2" fillId="0" borderId="0" xfId="0" applyFont="1" applyAlignment="1">
      <alignment vertical="top"/>
    </xf>
    <xf numFmtId="0" fontId="2" fillId="0" borderId="0" xfId="0" applyFont="1" applyAlignment="1">
      <alignment horizontal="center" vertical="top"/>
    </xf>
    <xf numFmtId="0" fontId="1" fillId="6" borderId="20" xfId="1" applyFill="1" applyBorder="1" applyAlignment="1" applyProtection="1">
      <alignment vertical="top"/>
    </xf>
    <xf numFmtId="0" fontId="4" fillId="0" borderId="1" xfId="0" applyFont="1" applyBorder="1" applyAlignment="1">
      <alignment vertical="top" wrapText="1"/>
    </xf>
    <xf numFmtId="0" fontId="4" fillId="3" borderId="8" xfId="0" applyFont="1" applyFill="1" applyBorder="1" applyAlignment="1">
      <alignment vertical="top"/>
    </xf>
    <xf numFmtId="0" fontId="4" fillId="0" borderId="14" xfId="0" applyFont="1" applyBorder="1" applyAlignment="1">
      <alignment horizontal="center" vertical="top" wrapText="1"/>
    </xf>
    <xf numFmtId="0" fontId="4" fillId="0" borderId="9" xfId="0" applyFont="1" applyBorder="1" applyAlignment="1">
      <alignment vertical="top" wrapText="1"/>
    </xf>
    <xf numFmtId="0" fontId="4" fillId="0" borderId="8" xfId="0" applyFont="1" applyBorder="1" applyAlignment="1" applyProtection="1">
      <alignment horizontal="left" vertical="top"/>
      <protection locked="0"/>
    </xf>
    <xf numFmtId="0" fontId="4" fillId="5" borderId="8" xfId="0" applyFont="1" applyFill="1" applyBorder="1" applyAlignment="1" applyProtection="1">
      <alignment vertical="top" wrapText="1"/>
      <protection locked="0"/>
    </xf>
    <xf numFmtId="9" fontId="4" fillId="9" borderId="12" xfId="3" applyFont="1" applyFill="1" applyBorder="1" applyAlignment="1" applyProtection="1">
      <alignment horizontal="center" vertical="top"/>
    </xf>
    <xf numFmtId="0" fontId="12" fillId="0" borderId="14" xfId="0" applyFont="1" applyBorder="1" applyAlignment="1">
      <alignment horizontal="center" vertical="top"/>
    </xf>
    <xf numFmtId="0" fontId="4" fillId="5" borderId="8" xfId="0" applyFont="1" applyFill="1" applyBorder="1" applyAlignment="1" applyProtection="1">
      <alignment vertical="top"/>
      <protection locked="0"/>
    </xf>
    <xf numFmtId="0" fontId="0" fillId="0" borderId="7" xfId="0" applyBorder="1" applyAlignment="1">
      <alignment vertical="top"/>
    </xf>
    <xf numFmtId="0" fontId="5" fillId="0" borderId="14" xfId="0" applyFont="1" applyBorder="1" applyAlignment="1">
      <alignment vertical="top" wrapText="1"/>
    </xf>
    <xf numFmtId="0" fontId="0" fillId="0" borderId="4" xfId="0" applyBorder="1" applyAlignment="1">
      <alignment vertical="top"/>
    </xf>
    <xf numFmtId="0" fontId="4" fillId="0" borderId="14" xfId="0" applyFont="1" applyBorder="1" applyAlignment="1">
      <alignment vertical="top" wrapText="1"/>
    </xf>
    <xf numFmtId="0" fontId="7" fillId="0" borderId="11" xfId="0" applyFont="1" applyBorder="1" applyAlignment="1">
      <alignment vertical="top" wrapText="1"/>
    </xf>
    <xf numFmtId="0" fontId="5" fillId="0" borderId="14" xfId="0" applyFont="1" applyBorder="1" applyAlignment="1">
      <alignment vertical="top"/>
    </xf>
    <xf numFmtId="0" fontId="4" fillId="0" borderId="10" xfId="0" applyFont="1" applyBorder="1" applyAlignment="1">
      <alignment vertical="top" wrapText="1"/>
    </xf>
    <xf numFmtId="0" fontId="4" fillId="0" borderId="11" xfId="0" applyFont="1" applyBorder="1" applyAlignment="1">
      <alignment horizontal="center" vertical="top" wrapText="1"/>
    </xf>
    <xf numFmtId="0" fontId="4" fillId="0" borderId="15" xfId="0" applyFont="1" applyBorder="1" applyAlignment="1">
      <alignment vertical="top" wrapText="1"/>
    </xf>
    <xf numFmtId="0" fontId="14" fillId="0" borderId="0" xfId="0" applyFont="1" applyAlignment="1">
      <alignment vertical="top" wrapText="1"/>
    </xf>
    <xf numFmtId="0" fontId="14" fillId="0" borderId="0" xfId="0" applyFont="1" applyAlignment="1">
      <alignment horizontal="center" vertical="top" wrapText="1"/>
    </xf>
    <xf numFmtId="0" fontId="4" fillId="3" borderId="7" xfId="0" applyFont="1" applyFill="1" applyBorder="1" applyAlignment="1" applyProtection="1">
      <alignment vertical="top"/>
      <protection locked="0"/>
    </xf>
    <xf numFmtId="0" fontId="4" fillId="0" borderId="5" xfId="0" applyFont="1" applyBorder="1" applyAlignment="1">
      <alignment horizontal="left" vertical="top" wrapText="1"/>
    </xf>
    <xf numFmtId="0" fontId="4" fillId="0" borderId="12" xfId="0" applyFont="1" applyBorder="1" applyAlignment="1">
      <alignment vertical="top"/>
    </xf>
    <xf numFmtId="0" fontId="4" fillId="9" borderId="8" xfId="0" applyFont="1" applyFill="1" applyBorder="1" applyAlignment="1" applyProtection="1">
      <alignment vertical="top"/>
      <protection locked="0"/>
    </xf>
    <xf numFmtId="0" fontId="4" fillId="9" borderId="8" xfId="0" applyFont="1" applyFill="1" applyBorder="1" applyAlignment="1" applyProtection="1">
      <alignment horizontal="center" vertical="top"/>
      <protection locked="0"/>
    </xf>
    <xf numFmtId="0" fontId="4" fillId="9" borderId="7" xfId="0" applyFont="1" applyFill="1" applyBorder="1" applyAlignment="1">
      <alignment vertical="top"/>
    </xf>
    <xf numFmtId="0" fontId="4" fillId="0" borderId="8" xfId="0" applyFont="1" applyBorder="1" applyAlignment="1">
      <alignment horizontal="left" vertical="top" wrapText="1"/>
    </xf>
    <xf numFmtId="0" fontId="17" fillId="0" borderId="8" xfId="2" applyBorder="1" applyAlignment="1" applyProtection="1">
      <alignment vertical="top" wrapText="1"/>
    </xf>
    <xf numFmtId="0" fontId="3" fillId="0" borderId="7" xfId="0" applyFont="1" applyBorder="1" applyAlignment="1">
      <alignment horizontal="center" vertical="top" wrapText="1"/>
    </xf>
    <xf numFmtId="0" fontId="4" fillId="6" borderId="8" xfId="0" applyFont="1" applyFill="1" applyBorder="1" applyAlignment="1">
      <alignment vertical="top"/>
    </xf>
    <xf numFmtId="9" fontId="4" fillId="6" borderId="8" xfId="0" applyNumberFormat="1" applyFont="1" applyFill="1" applyBorder="1" applyAlignment="1">
      <alignment horizontal="center" vertical="top"/>
    </xf>
    <xf numFmtId="0" fontId="3" fillId="0" borderId="12" xfId="0" applyFont="1" applyBorder="1" applyAlignment="1">
      <alignment horizontal="center" vertical="top" wrapText="1"/>
    </xf>
    <xf numFmtId="0" fontId="12" fillId="0" borderId="4" xfId="0" applyFont="1" applyBorder="1" applyAlignment="1">
      <alignment vertical="top"/>
    </xf>
    <xf numFmtId="0" fontId="12" fillId="0" borderId="12" xfId="0" applyFont="1" applyBorder="1" applyAlignment="1">
      <alignment vertical="top"/>
    </xf>
    <xf numFmtId="9" fontId="4" fillId="5" borderId="8" xfId="0" applyNumberFormat="1" applyFont="1" applyFill="1" applyBorder="1" applyAlignment="1">
      <alignment vertical="top" wrapText="1"/>
    </xf>
    <xf numFmtId="9" fontId="0" fillId="0" borderId="0" xfId="0" applyNumberFormat="1" applyAlignment="1">
      <alignment vertical="top"/>
    </xf>
    <xf numFmtId="0" fontId="8" fillId="0" borderId="5" xfId="0" applyFont="1" applyBorder="1" applyAlignment="1">
      <alignment vertical="top" wrapText="1"/>
    </xf>
    <xf numFmtId="0" fontId="4" fillId="3" borderId="8" xfId="0" applyFont="1" applyFill="1" applyBorder="1" applyAlignment="1" applyProtection="1">
      <alignment horizontal="center" vertical="top"/>
      <protection locked="0"/>
    </xf>
    <xf numFmtId="0" fontId="4" fillId="3" borderId="8" xfId="0" applyFont="1" applyFill="1" applyBorder="1" applyAlignment="1" applyProtection="1">
      <alignment horizontal="center" vertical="top" wrapText="1"/>
      <protection locked="0"/>
    </xf>
    <xf numFmtId="0" fontId="3" fillId="0" borderId="9" xfId="0" applyFont="1" applyBorder="1" applyAlignment="1">
      <alignment vertical="top"/>
    </xf>
    <xf numFmtId="3" fontId="4" fillId="9" borderId="13" xfId="0" applyNumberFormat="1" applyFont="1" applyFill="1" applyBorder="1" applyAlignment="1">
      <alignment horizontal="right" vertical="top"/>
    </xf>
    <xf numFmtId="3" fontId="4" fillId="9" borderId="13" xfId="0" applyNumberFormat="1" applyFont="1" applyFill="1" applyBorder="1" applyAlignment="1">
      <alignment horizontal="center" vertical="top"/>
    </xf>
    <xf numFmtId="0" fontId="4" fillId="9" borderId="8" xfId="0" applyFont="1" applyFill="1" applyBorder="1" applyAlignment="1">
      <alignment vertical="top"/>
    </xf>
    <xf numFmtId="0" fontId="4" fillId="0" borderId="31" xfId="0" applyFont="1" applyBorder="1" applyAlignment="1">
      <alignment vertical="top"/>
    </xf>
    <xf numFmtId="0" fontId="4" fillId="0" borderId="32" xfId="0" applyFont="1" applyBorder="1" applyAlignment="1">
      <alignment vertical="top"/>
    </xf>
    <xf numFmtId="0" fontId="4" fillId="0" borderId="33" xfId="0" applyFont="1" applyBorder="1" applyAlignment="1">
      <alignment vertical="top"/>
    </xf>
    <xf numFmtId="0" fontId="4" fillId="0" borderId="34" xfId="0" applyFont="1" applyBorder="1" applyAlignment="1">
      <alignment vertical="top"/>
    </xf>
    <xf numFmtId="3" fontId="4" fillId="6" borderId="16" xfId="0" applyNumberFormat="1" applyFont="1" applyFill="1" applyBorder="1" applyAlignment="1">
      <alignment horizontal="center" vertical="top"/>
    </xf>
    <xf numFmtId="3" fontId="4" fillId="6" borderId="35" xfId="0" applyNumberFormat="1" applyFont="1" applyFill="1" applyBorder="1" applyAlignment="1">
      <alignment horizontal="center" vertical="top"/>
    </xf>
    <xf numFmtId="0" fontId="4" fillId="0" borderId="34" xfId="0" applyFont="1" applyBorder="1" applyAlignment="1">
      <alignment vertical="top" wrapText="1"/>
    </xf>
    <xf numFmtId="9" fontId="4" fillId="6" borderId="36" xfId="3" applyFont="1" applyFill="1" applyBorder="1" applyAlignment="1" applyProtection="1">
      <alignment horizontal="center" vertical="top"/>
    </xf>
    <xf numFmtId="0" fontId="4" fillId="3" borderId="12" xfId="0" applyFont="1" applyFill="1" applyBorder="1" applyAlignment="1" applyProtection="1">
      <alignment vertical="top"/>
      <protection locked="0"/>
    </xf>
    <xf numFmtId="0" fontId="0" fillId="0" borderId="9" xfId="0" applyBorder="1" applyAlignment="1" applyProtection="1">
      <alignment vertical="top"/>
      <protection locked="0"/>
    </xf>
    <xf numFmtId="0" fontId="0" fillId="0" borderId="6" xfId="0" applyBorder="1" applyProtection="1">
      <protection locked="0"/>
    </xf>
    <xf numFmtId="0" fontId="0" fillId="0" borderId="10" xfId="0" applyBorder="1" applyAlignment="1" applyProtection="1">
      <alignment vertical="top"/>
      <protection locked="0"/>
    </xf>
    <xf numFmtId="0" fontId="0" fillId="0" borderId="11" xfId="0" applyBorder="1" applyProtection="1">
      <protection locked="0"/>
    </xf>
    <xf numFmtId="0" fontId="0" fillId="0" borderId="8" xfId="0" applyBorder="1" applyProtection="1">
      <protection locked="0"/>
    </xf>
    <xf numFmtId="0" fontId="0" fillId="0" borderId="2" xfId="0" applyBorder="1" applyAlignment="1">
      <alignment vertical="top"/>
    </xf>
    <xf numFmtId="0" fontId="0" fillId="0" borderId="3" xfId="0" applyBorder="1"/>
    <xf numFmtId="0" fontId="0" fillId="0" borderId="4" xfId="0" applyBorder="1"/>
    <xf numFmtId="3" fontId="4" fillId="0" borderId="8" xfId="0" applyNumberFormat="1" applyFont="1" applyBorder="1" applyAlignment="1">
      <alignment vertical="top"/>
    </xf>
    <xf numFmtId="3" fontId="4" fillId="4" borderId="16" xfId="0" applyNumberFormat="1" applyFont="1" applyFill="1" applyBorder="1" applyAlignment="1">
      <alignment horizontal="right" vertical="top"/>
    </xf>
    <xf numFmtId="3" fontId="4" fillId="6" borderId="13" xfId="0" applyNumberFormat="1" applyFont="1" applyFill="1" applyBorder="1" applyAlignment="1">
      <alignment horizontal="right" vertical="top"/>
    </xf>
    <xf numFmtId="9" fontId="4" fillId="4" borderId="16" xfId="3" applyFont="1" applyFill="1" applyBorder="1" applyAlignment="1">
      <alignment horizontal="right" vertical="top"/>
    </xf>
    <xf numFmtId="9" fontId="4" fillId="3" borderId="16" xfId="0" applyNumberFormat="1" applyFont="1" applyFill="1" applyBorder="1" applyAlignment="1" applyProtection="1">
      <alignment horizontal="center" vertical="top"/>
      <protection locked="0"/>
    </xf>
    <xf numFmtId="0" fontId="28" fillId="0" borderId="16" xfId="0" applyFont="1" applyBorder="1" applyAlignment="1">
      <alignment vertical="top"/>
    </xf>
    <xf numFmtId="9" fontId="4" fillId="0" borderId="16" xfId="0" applyNumberFormat="1" applyFont="1" applyBorder="1" applyAlignment="1" applyProtection="1">
      <alignment horizontal="center" vertical="top"/>
      <protection locked="0"/>
    </xf>
    <xf numFmtId="9" fontId="4" fillId="3" borderId="20" xfId="0" applyNumberFormat="1" applyFont="1" applyFill="1" applyBorder="1" applyAlignment="1" applyProtection="1">
      <alignment horizontal="right" vertical="top"/>
      <protection locked="0"/>
    </xf>
    <xf numFmtId="0" fontId="8" fillId="0" borderId="0" xfId="0" applyFont="1" applyAlignment="1">
      <alignment vertical="top" wrapText="1"/>
    </xf>
    <xf numFmtId="0" fontId="8" fillId="0" borderId="12" xfId="0" applyFont="1" applyBorder="1" applyAlignment="1">
      <alignment vertical="top" wrapText="1"/>
    </xf>
    <xf numFmtId="9" fontId="0" fillId="6" borderId="12" xfId="3" applyFont="1" applyFill="1" applyBorder="1" applyAlignment="1">
      <alignment horizontal="center" vertical="top"/>
    </xf>
    <xf numFmtId="0" fontId="3" fillId="0" borderId="3" xfId="0" applyFont="1" applyBorder="1" applyAlignment="1">
      <alignment vertical="top" wrapText="1"/>
    </xf>
    <xf numFmtId="0" fontId="28" fillId="0" borderId="16" xfId="0" applyFont="1" applyBorder="1" applyAlignment="1">
      <alignment vertical="top" wrapText="1"/>
    </xf>
    <xf numFmtId="9" fontId="4" fillId="4" borderId="12" xfId="0" applyNumberFormat="1" applyFont="1" applyFill="1" applyBorder="1" applyAlignment="1">
      <alignment horizontal="right" vertical="top"/>
    </xf>
    <xf numFmtId="0" fontId="0" fillId="0" borderId="6" xfId="0" applyBorder="1" applyAlignment="1">
      <alignment horizontal="center" vertical="top"/>
    </xf>
    <xf numFmtId="3" fontId="4" fillId="4" borderId="8" xfId="0" applyNumberFormat="1" applyFont="1" applyFill="1" applyBorder="1" applyAlignment="1">
      <alignment horizontal="right" vertical="top" wrapText="1"/>
    </xf>
    <xf numFmtId="9" fontId="4" fillId="4" borderId="3" xfId="3" applyFont="1" applyFill="1" applyBorder="1" applyAlignment="1" applyProtection="1">
      <alignment horizontal="center" vertical="top"/>
    </xf>
    <xf numFmtId="9" fontId="4" fillId="4" borderId="4" xfId="3" applyFont="1" applyFill="1" applyBorder="1" applyAlignment="1" applyProtection="1">
      <alignment horizontal="center" vertical="top"/>
    </xf>
    <xf numFmtId="0" fontId="4" fillId="0" borderId="12" xfId="0" applyFont="1" applyBorder="1" applyAlignment="1">
      <alignment horizontal="center" vertical="center" wrapText="1"/>
    </xf>
    <xf numFmtId="0" fontId="3" fillId="3" borderId="8" xfId="0" applyFont="1" applyFill="1" applyBorder="1" applyAlignment="1" applyProtection="1">
      <alignment horizontal="center" vertical="top" wrapText="1"/>
      <protection locked="0"/>
    </xf>
    <xf numFmtId="9" fontId="25" fillId="6" borderId="16" xfId="0" applyNumberFormat="1" applyFont="1" applyFill="1" applyBorder="1" applyAlignment="1">
      <alignment horizontal="right" vertical="top"/>
    </xf>
    <xf numFmtId="9" fontId="25" fillId="6" borderId="16" xfId="3" applyFont="1" applyFill="1" applyBorder="1" applyAlignment="1" applyProtection="1">
      <alignment horizontal="right" vertical="top"/>
    </xf>
    <xf numFmtId="0" fontId="14" fillId="6" borderId="16" xfId="0" applyFont="1" applyFill="1" applyBorder="1" applyAlignment="1">
      <alignment horizontal="right"/>
    </xf>
    <xf numFmtId="0" fontId="14" fillId="6" borderId="37" xfId="0" applyFont="1" applyFill="1" applyBorder="1" applyAlignment="1">
      <alignment horizontal="right"/>
    </xf>
    <xf numFmtId="0" fontId="14" fillId="6" borderId="30" xfId="0" applyFont="1" applyFill="1" applyBorder="1" applyAlignment="1">
      <alignment horizontal="right"/>
    </xf>
    <xf numFmtId="9" fontId="25" fillId="6" borderId="16" xfId="0" applyNumberFormat="1" applyFont="1" applyFill="1" applyBorder="1" applyAlignment="1">
      <alignment horizontal="right" vertical="top" wrapText="1"/>
    </xf>
    <xf numFmtId="9" fontId="25" fillId="6" borderId="16" xfId="3" applyFont="1" applyFill="1" applyBorder="1" applyAlignment="1">
      <alignment horizontal="right" vertical="top"/>
    </xf>
    <xf numFmtId="0" fontId="4" fillId="3" borderId="7" xfId="0" applyFont="1" applyFill="1" applyBorder="1" applyAlignment="1" applyProtection="1">
      <alignment horizontal="left" vertical="center"/>
      <protection locked="0"/>
    </xf>
    <xf numFmtId="0" fontId="4" fillId="3" borderId="8" xfId="0" applyFont="1" applyFill="1" applyBorder="1" applyAlignment="1" applyProtection="1">
      <alignment horizontal="left" vertical="center"/>
      <protection locked="0"/>
    </xf>
    <xf numFmtId="0" fontId="0" fillId="3" borderId="16" xfId="0" applyFill="1" applyBorder="1" applyAlignment="1" applyProtection="1">
      <alignment horizontal="center" vertical="center"/>
      <protection locked="0"/>
    </xf>
    <xf numFmtId="9" fontId="4" fillId="4" borderId="14" xfId="3" applyFont="1" applyFill="1" applyBorder="1" applyAlignment="1">
      <alignment horizontal="center" vertical="center"/>
    </xf>
    <xf numFmtId="0" fontId="0" fillId="0" borderId="9" xfId="0" applyBorder="1" applyAlignment="1">
      <alignment vertical="top"/>
    </xf>
    <xf numFmtId="0" fontId="0" fillId="0" borderId="10" xfId="0" applyBorder="1" applyAlignment="1">
      <alignment vertical="top"/>
    </xf>
    <xf numFmtId="0" fontId="4" fillId="7" borderId="8" xfId="0" applyFont="1" applyFill="1" applyBorder="1" applyAlignment="1" applyProtection="1">
      <alignment horizontal="left" vertical="top"/>
      <protection locked="0"/>
    </xf>
    <xf numFmtId="3" fontId="4" fillId="3" borderId="16" xfId="0" applyNumberFormat="1" applyFont="1" applyFill="1" applyBorder="1" applyAlignment="1" applyProtection="1">
      <alignment vertical="top"/>
      <protection locked="0"/>
    </xf>
    <xf numFmtId="0" fontId="4" fillId="10" borderId="8" xfId="0" applyFont="1" applyFill="1" applyBorder="1" applyAlignment="1">
      <alignment vertical="top" wrapText="1"/>
    </xf>
    <xf numFmtId="0" fontId="4" fillId="3" borderId="8" xfId="0" applyFont="1" applyFill="1" applyBorder="1" applyAlignment="1" applyProtection="1">
      <alignment horizontal="left" vertical="top" wrapText="1"/>
      <protection locked="0"/>
    </xf>
    <xf numFmtId="0" fontId="3" fillId="3" borderId="8" xfId="0" applyFont="1" applyFill="1" applyBorder="1" applyAlignment="1" applyProtection="1">
      <alignment vertical="top" wrapText="1"/>
      <protection locked="0"/>
    </xf>
    <xf numFmtId="9" fontId="3" fillId="3" borderId="8" xfId="0" applyNumberFormat="1" applyFont="1" applyFill="1" applyBorder="1" applyAlignment="1" applyProtection="1">
      <alignment horizontal="center" vertical="top"/>
      <protection locked="0"/>
    </xf>
    <xf numFmtId="0" fontId="29" fillId="0" borderId="1" xfId="0" applyFont="1" applyBorder="1" applyAlignment="1">
      <alignment vertical="top" wrapText="1"/>
    </xf>
    <xf numFmtId="165" fontId="4" fillId="8" borderId="15" xfId="0" applyNumberFormat="1" applyFont="1" applyFill="1" applyBorder="1" applyAlignment="1" applyProtection="1">
      <alignment horizontal="center" wrapText="1"/>
      <protection locked="0"/>
    </xf>
    <xf numFmtId="0" fontId="4" fillId="0" borderId="0" xfId="0" applyFont="1" applyAlignment="1">
      <alignment vertical="center" wrapText="1"/>
    </xf>
    <xf numFmtId="0" fontId="4" fillId="0" borderId="6" xfId="0" applyFont="1" applyBorder="1" applyAlignment="1">
      <alignment vertical="center" wrapText="1"/>
    </xf>
    <xf numFmtId="0" fontId="0" fillId="3" borderId="30" xfId="0" applyFill="1" applyBorder="1" applyAlignment="1" applyProtection="1">
      <alignment vertical="top"/>
      <protection locked="0"/>
    </xf>
    <xf numFmtId="0" fontId="4" fillId="0" borderId="16" xfId="0" applyFont="1" applyBorder="1" applyAlignment="1">
      <alignment vertical="top"/>
    </xf>
    <xf numFmtId="0" fontId="4" fillId="3" borderId="6" xfId="0" applyFont="1" applyFill="1" applyBorder="1" applyAlignment="1" applyProtection="1">
      <alignment vertical="top"/>
      <protection locked="0"/>
    </xf>
    <xf numFmtId="0" fontId="4" fillId="3" borderId="6" xfId="0" applyFont="1" applyFill="1" applyBorder="1" applyAlignment="1" applyProtection="1">
      <alignment horizontal="left" vertical="center"/>
      <protection locked="0"/>
    </xf>
    <xf numFmtId="9" fontId="4" fillId="4" borderId="13" xfId="3" applyFont="1" applyFill="1" applyBorder="1" applyAlignment="1">
      <alignment horizontal="center" vertical="top" wrapText="1"/>
    </xf>
    <xf numFmtId="0" fontId="4" fillId="3" borderId="32" xfId="0" applyFont="1" applyFill="1" applyBorder="1" applyAlignment="1" applyProtection="1">
      <alignment vertical="top"/>
      <protection locked="0"/>
    </xf>
    <xf numFmtId="0" fontId="4" fillId="3" borderId="33" xfId="0" applyFont="1" applyFill="1" applyBorder="1" applyAlignment="1" applyProtection="1">
      <alignment vertical="top"/>
      <protection locked="0"/>
    </xf>
    <xf numFmtId="0" fontId="0" fillId="3" borderId="35" xfId="0" applyFill="1" applyBorder="1" applyAlignment="1" applyProtection="1">
      <alignment horizontal="center" vertical="center"/>
      <protection locked="0"/>
    </xf>
    <xf numFmtId="0" fontId="0" fillId="3" borderId="36" xfId="0" applyFill="1" applyBorder="1" applyAlignment="1" applyProtection="1">
      <alignment horizontal="center" vertical="center"/>
      <protection locked="0"/>
    </xf>
    <xf numFmtId="0" fontId="0" fillId="3" borderId="39" xfId="0" applyFill="1" applyBorder="1" applyAlignment="1" applyProtection="1">
      <alignment horizontal="center" vertical="center"/>
      <protection locked="0"/>
    </xf>
    <xf numFmtId="9" fontId="4" fillId="3" borderId="12" xfId="3" applyFont="1" applyFill="1" applyBorder="1" applyAlignment="1" applyProtection="1">
      <alignment horizontal="center" vertical="top"/>
      <protection locked="0"/>
    </xf>
    <xf numFmtId="0" fontId="17" fillId="0" borderId="0" xfId="2" applyFill="1"/>
    <xf numFmtId="0" fontId="0" fillId="0" borderId="16" xfId="0" applyBorder="1" applyAlignment="1">
      <alignment horizontal="center"/>
    </xf>
    <xf numFmtId="0" fontId="17" fillId="0" borderId="0" xfId="2" applyFill="1" applyBorder="1"/>
    <xf numFmtId="0" fontId="4" fillId="3" borderId="16" xfId="0" applyFont="1" applyFill="1" applyBorder="1" applyAlignment="1" applyProtection="1">
      <alignment horizontal="center" vertical="top" wrapText="1"/>
      <protection locked="0"/>
    </xf>
    <xf numFmtId="0" fontId="7" fillId="3" borderId="16" xfId="0" applyFont="1" applyFill="1" applyBorder="1" applyAlignment="1" applyProtection="1">
      <alignment horizontal="center" vertical="top"/>
      <protection locked="0"/>
    </xf>
    <xf numFmtId="0" fontId="7" fillId="0" borderId="16" xfId="0" applyFont="1" applyBorder="1" applyAlignment="1">
      <alignment horizontal="center" vertical="center"/>
    </xf>
    <xf numFmtId="0" fontId="0" fillId="0" borderId="16" xfId="0" applyBorder="1" applyAlignment="1">
      <alignment vertical="center"/>
    </xf>
    <xf numFmtId="0" fontId="0" fillId="0" borderId="16" xfId="0" applyBorder="1" applyAlignment="1">
      <alignment horizontal="center" vertical="center"/>
    </xf>
    <xf numFmtId="0" fontId="0" fillId="3" borderId="16" xfId="0" applyFill="1" applyBorder="1" applyAlignment="1" applyProtection="1">
      <alignment horizontal="left" vertical="top"/>
      <protection locked="0"/>
    </xf>
    <xf numFmtId="0" fontId="0" fillId="3" borderId="16" xfId="0" applyFill="1" applyBorder="1" applyAlignment="1" applyProtection="1">
      <alignment horizontal="left" vertical="top" wrapText="1"/>
      <protection locked="0"/>
    </xf>
    <xf numFmtId="0" fontId="17" fillId="0" borderId="0" xfId="2" applyProtection="1">
      <protection locked="0"/>
    </xf>
    <xf numFmtId="0" fontId="4" fillId="0" borderId="6" xfId="0" applyFont="1" applyBorder="1" applyAlignment="1">
      <alignment horizontal="center" vertical="top"/>
    </xf>
    <xf numFmtId="0" fontId="4" fillId="3" borderId="7" xfId="0" applyFont="1" applyFill="1" applyBorder="1" applyAlignment="1">
      <alignment horizontal="center" vertical="top"/>
    </xf>
    <xf numFmtId="0" fontId="4" fillId="0" borderId="0" xfId="0" applyFont="1" applyAlignment="1">
      <alignment horizontal="right" vertical="top" wrapText="1"/>
    </xf>
    <xf numFmtId="0" fontId="30" fillId="0" borderId="0" xfId="0" applyFont="1" applyAlignment="1">
      <alignment vertical="center" wrapText="1"/>
    </xf>
    <xf numFmtId="0" fontId="30" fillId="0" borderId="0" xfId="0" applyFont="1" applyAlignment="1">
      <alignment vertical="center"/>
    </xf>
    <xf numFmtId="0" fontId="0" fillId="0" borderId="0" xfId="0" applyAlignment="1">
      <alignment vertical="center"/>
    </xf>
    <xf numFmtId="0" fontId="22" fillId="0" borderId="31" xfId="0" applyFont="1" applyBorder="1" applyAlignment="1">
      <alignment vertical="center"/>
    </xf>
    <xf numFmtId="0" fontId="22" fillId="0" borderId="34" xfId="0" applyFont="1" applyBorder="1" applyAlignment="1">
      <alignment vertical="center"/>
    </xf>
    <xf numFmtId="0" fontId="0" fillId="0" borderId="35" xfId="0" applyBorder="1" applyAlignment="1">
      <alignment vertical="center"/>
    </xf>
    <xf numFmtId="0" fontId="22" fillId="0" borderId="38" xfId="0" applyFont="1" applyBorder="1" applyAlignment="1">
      <alignment vertical="center"/>
    </xf>
    <xf numFmtId="0" fontId="0" fillId="0" borderId="39" xfId="0" applyBorder="1" applyAlignment="1">
      <alignment vertical="center"/>
    </xf>
    <xf numFmtId="0" fontId="31" fillId="12" borderId="15" xfId="5" applyFont="1" applyFill="1" applyBorder="1" applyAlignment="1">
      <alignment vertical="center" wrapText="1"/>
    </xf>
    <xf numFmtId="0" fontId="31" fillId="12" borderId="15" xfId="0" applyFont="1" applyFill="1" applyBorder="1" applyAlignment="1">
      <alignment vertical="center" wrapText="1"/>
    </xf>
    <xf numFmtId="0" fontId="31" fillId="12" borderId="7" xfId="0" applyFont="1" applyFill="1" applyBorder="1" applyAlignment="1">
      <alignment vertical="center" wrapText="1"/>
    </xf>
    <xf numFmtId="0" fontId="30" fillId="11" borderId="14" xfId="0" applyFont="1" applyFill="1" applyBorder="1" applyAlignment="1">
      <alignment vertical="center" wrapText="1"/>
    </xf>
    <xf numFmtId="0" fontId="30" fillId="11" borderId="15" xfId="0" applyFont="1" applyFill="1" applyBorder="1" applyAlignment="1">
      <alignment vertical="center" wrapText="1"/>
    </xf>
    <xf numFmtId="0" fontId="30" fillId="11" borderId="7" xfId="0" applyFont="1" applyFill="1" applyBorder="1" applyAlignment="1">
      <alignment vertical="center" wrapText="1"/>
    </xf>
    <xf numFmtId="0" fontId="4" fillId="3" borderId="30" xfId="0" applyFont="1" applyFill="1" applyBorder="1" applyAlignment="1">
      <alignment vertical="top" wrapText="1"/>
    </xf>
    <xf numFmtId="49" fontId="37" fillId="0" borderId="46" xfId="5" applyNumberFormat="1" applyFont="1" applyBorder="1" applyAlignment="1">
      <alignment vertical="center" wrapText="1"/>
    </xf>
    <xf numFmtId="49" fontId="37" fillId="0" borderId="46" xfId="5" quotePrefix="1" applyNumberFormat="1" applyFont="1" applyBorder="1" applyAlignment="1">
      <alignment vertical="center" wrapText="1"/>
    </xf>
    <xf numFmtId="0" fontId="37" fillId="0" borderId="46" xfId="5" applyFont="1" applyBorder="1" applyAlignment="1">
      <alignment vertical="center" wrapText="1"/>
    </xf>
    <xf numFmtId="49" fontId="37" fillId="0" borderId="45" xfId="5" applyNumberFormat="1" applyFont="1" applyBorder="1" applyAlignment="1">
      <alignment horizontal="center" vertical="center" wrapText="1"/>
    </xf>
    <xf numFmtId="49" fontId="38" fillId="0" borderId="45" xfId="5" applyNumberFormat="1" applyFont="1" applyBorder="1" applyAlignment="1">
      <alignment horizontal="center" vertical="center" wrapText="1"/>
    </xf>
    <xf numFmtId="49" fontId="37" fillId="9" borderId="45" xfId="5" applyNumberFormat="1" applyFont="1" applyFill="1" applyBorder="1" applyAlignment="1">
      <alignment horizontal="center" vertical="center" wrapText="1"/>
    </xf>
    <xf numFmtId="0" fontId="22" fillId="0" borderId="0" xfId="0" applyFont="1" applyAlignment="1">
      <alignment horizontal="center" wrapText="1"/>
    </xf>
    <xf numFmtId="49" fontId="37" fillId="14" borderId="45" xfId="5" applyNumberFormat="1" applyFont="1" applyFill="1" applyBorder="1" applyAlignment="1">
      <alignment horizontal="center" vertical="center"/>
    </xf>
    <xf numFmtId="49" fontId="39" fillId="14" borderId="45" xfId="5" applyNumberFormat="1" applyFont="1" applyFill="1" applyBorder="1" applyAlignment="1">
      <alignment horizontal="center" vertical="center"/>
    </xf>
    <xf numFmtId="0" fontId="39" fillId="14" borderId="45" xfId="5" applyFont="1" applyFill="1" applyBorder="1" applyAlignment="1">
      <alignment horizontal="left" vertical="center"/>
    </xf>
    <xf numFmtId="0" fontId="37" fillId="14" borderId="45" xfId="5" applyFont="1" applyFill="1" applyBorder="1" applyAlignment="1">
      <alignment horizontal="left" vertical="center"/>
    </xf>
    <xf numFmtId="166" fontId="37" fillId="14" borderId="45" xfId="4" applyNumberFormat="1" applyFont="1" applyFill="1" applyBorder="1" applyAlignment="1">
      <alignment horizontal="right" vertical="center"/>
    </xf>
    <xf numFmtId="10" fontId="37" fillId="14" borderId="45" xfId="3" applyNumberFormat="1" applyFont="1" applyFill="1" applyBorder="1" applyAlignment="1">
      <alignment horizontal="right" vertical="center"/>
    </xf>
    <xf numFmtId="49" fontId="37" fillId="0" borderId="0" xfId="5" applyNumberFormat="1" applyFont="1" applyAlignment="1">
      <alignment horizontal="center" vertical="center"/>
    </xf>
    <xf numFmtId="0" fontId="37" fillId="15" borderId="45" xfId="5" applyFont="1" applyFill="1" applyBorder="1" applyAlignment="1">
      <alignment horizontal="center" vertical="center"/>
    </xf>
    <xf numFmtId="49" fontId="37" fillId="15" borderId="45" xfId="5" applyNumberFormat="1" applyFont="1" applyFill="1" applyBorder="1" applyAlignment="1">
      <alignment horizontal="center" vertical="center"/>
    </xf>
    <xf numFmtId="49" fontId="39" fillId="15" borderId="45" xfId="5" applyNumberFormat="1" applyFont="1" applyFill="1" applyBorder="1" applyAlignment="1">
      <alignment horizontal="center" vertical="center"/>
    </xf>
    <xf numFmtId="0" fontId="37" fillId="15" borderId="45" xfId="5" applyFont="1" applyFill="1" applyBorder="1" applyAlignment="1">
      <alignment horizontal="left" vertical="center"/>
    </xf>
    <xf numFmtId="166" fontId="37" fillId="15" borderId="45" xfId="4" applyNumberFormat="1" applyFont="1" applyFill="1" applyBorder="1" applyAlignment="1">
      <alignment horizontal="right" vertical="center"/>
    </xf>
    <xf numFmtId="10" fontId="37" fillId="15" borderId="45" xfId="3" applyNumberFormat="1" applyFont="1" applyFill="1" applyBorder="1" applyAlignment="1">
      <alignment horizontal="right" vertical="center"/>
    </xf>
    <xf numFmtId="0" fontId="37" fillId="16" borderId="45" xfId="5" applyFont="1" applyFill="1" applyBorder="1" applyAlignment="1">
      <alignment horizontal="center" vertical="center"/>
    </xf>
    <xf numFmtId="49" fontId="37" fillId="16" borderId="45" xfId="5" applyNumberFormat="1" applyFont="1" applyFill="1" applyBorder="1" applyAlignment="1">
      <alignment horizontal="center" vertical="center"/>
    </xf>
    <xf numFmtId="49" fontId="39" fillId="16" borderId="45" xfId="5" applyNumberFormat="1" applyFont="1" applyFill="1" applyBorder="1" applyAlignment="1">
      <alignment horizontal="center" vertical="center"/>
    </xf>
    <xf numFmtId="0" fontId="37" fillId="16" borderId="45" xfId="5" applyFont="1" applyFill="1" applyBorder="1" applyAlignment="1">
      <alignment horizontal="left" vertical="center"/>
    </xf>
    <xf numFmtId="166" fontId="37" fillId="16" borderId="45" xfId="4" applyNumberFormat="1" applyFont="1" applyFill="1" applyBorder="1" applyAlignment="1">
      <alignment horizontal="right" vertical="center"/>
    </xf>
    <xf numFmtId="10" fontId="37" fillId="16" borderId="45" xfId="3" applyNumberFormat="1" applyFont="1" applyFill="1" applyBorder="1" applyAlignment="1">
      <alignment horizontal="right" vertical="center"/>
    </xf>
    <xf numFmtId="0" fontId="37" fillId="17" borderId="45" xfId="5" applyFont="1" applyFill="1" applyBorder="1" applyAlignment="1">
      <alignment horizontal="center" vertical="center"/>
    </xf>
    <xf numFmtId="49" fontId="37" fillId="17" borderId="45" xfId="5" applyNumberFormat="1" applyFont="1" applyFill="1" applyBorder="1" applyAlignment="1">
      <alignment horizontal="center" vertical="center"/>
    </xf>
    <xf numFmtId="49" fontId="39" fillId="17" borderId="45" xfId="5" applyNumberFormat="1" applyFont="1" applyFill="1" applyBorder="1" applyAlignment="1">
      <alignment horizontal="center" vertical="center"/>
    </xf>
    <xf numFmtId="0" fontId="37" fillId="17" borderId="45" xfId="5" applyFont="1" applyFill="1" applyBorder="1" applyAlignment="1">
      <alignment horizontal="left" vertical="center"/>
    </xf>
    <xf numFmtId="166" fontId="37" fillId="17" borderId="45" xfId="4" applyNumberFormat="1" applyFont="1" applyFill="1" applyBorder="1" applyAlignment="1">
      <alignment horizontal="right" vertical="center"/>
    </xf>
    <xf numFmtId="10" fontId="37" fillId="17" borderId="45" xfId="3" applyNumberFormat="1" applyFont="1" applyFill="1" applyBorder="1" applyAlignment="1">
      <alignment horizontal="right" vertical="center"/>
    </xf>
    <xf numFmtId="49" fontId="37" fillId="0" borderId="45" xfId="5" applyNumberFormat="1" applyFont="1" applyBorder="1" applyAlignment="1">
      <alignment horizontal="center" vertical="center"/>
    </xf>
    <xf numFmtId="49" fontId="39" fillId="0" borderId="45" xfId="5" applyNumberFormat="1" applyFont="1" applyBorder="1" applyAlignment="1">
      <alignment horizontal="center" vertical="center"/>
    </xf>
    <xf numFmtId="0" fontId="37" fillId="0" borderId="45" xfId="5" applyFont="1" applyBorder="1" applyAlignment="1">
      <alignment horizontal="left" vertical="center"/>
    </xf>
    <xf numFmtId="166" fontId="37" fillId="0" borderId="45" xfId="4" applyNumberFormat="1" applyFont="1" applyBorder="1" applyAlignment="1">
      <alignment horizontal="right" vertical="center"/>
    </xf>
    <xf numFmtId="10" fontId="37" fillId="0" borderId="45" xfId="3" applyNumberFormat="1" applyFont="1" applyBorder="1" applyAlignment="1">
      <alignment horizontal="right" vertical="center"/>
    </xf>
    <xf numFmtId="0" fontId="37" fillId="0" borderId="45" xfId="5" applyFont="1" applyBorder="1" applyAlignment="1">
      <alignment horizontal="center" vertical="center"/>
    </xf>
    <xf numFmtId="0" fontId="39" fillId="0" borderId="45" xfId="5" applyFont="1" applyBorder="1" applyAlignment="1">
      <alignment horizontal="left" vertical="center"/>
    </xf>
    <xf numFmtId="166" fontId="39" fillId="0" borderId="45" xfId="4" applyNumberFormat="1" applyFont="1" applyBorder="1" applyAlignment="1">
      <alignment horizontal="right" vertical="center"/>
    </xf>
    <xf numFmtId="10" fontId="39" fillId="0" borderId="45" xfId="3" applyNumberFormat="1" applyFont="1" applyBorder="1" applyAlignment="1">
      <alignment horizontal="right" vertical="center"/>
    </xf>
    <xf numFmtId="0" fontId="39" fillId="0" borderId="45" xfId="5" applyFont="1" applyBorder="1" applyAlignment="1">
      <alignment horizontal="center" vertical="center"/>
    </xf>
    <xf numFmtId="166" fontId="37" fillId="0" borderId="45" xfId="4" applyNumberFormat="1" applyFont="1" applyFill="1" applyBorder="1" applyAlignment="1">
      <alignment horizontal="right" vertical="center"/>
    </xf>
    <xf numFmtId="10" fontId="37" fillId="0" borderId="45" xfId="3" applyNumberFormat="1" applyFont="1" applyFill="1" applyBorder="1" applyAlignment="1">
      <alignment horizontal="right" vertical="center"/>
    </xf>
    <xf numFmtId="166" fontId="39" fillId="0" borderId="45" xfId="4" applyNumberFormat="1" applyFont="1" applyFill="1" applyBorder="1" applyAlignment="1">
      <alignment horizontal="right" vertical="center"/>
    </xf>
    <xf numFmtId="10" fontId="39" fillId="0" borderId="45" xfId="3" applyNumberFormat="1" applyFont="1" applyFill="1" applyBorder="1" applyAlignment="1">
      <alignment horizontal="right" vertical="center"/>
    </xf>
    <xf numFmtId="49" fontId="39" fillId="0" borderId="0" xfId="5" applyNumberFormat="1" applyFont="1" applyAlignment="1">
      <alignment horizontal="center" vertical="center"/>
    </xf>
    <xf numFmtId="43" fontId="37" fillId="17" borderId="45" xfId="4" applyFont="1" applyFill="1" applyBorder="1" applyAlignment="1">
      <alignment horizontal="right" vertical="center"/>
    </xf>
    <xf numFmtId="43" fontId="37" fillId="0" borderId="45" xfId="4" applyFont="1" applyFill="1" applyBorder="1" applyAlignment="1">
      <alignment horizontal="right" vertical="center"/>
    </xf>
    <xf numFmtId="43" fontId="39" fillId="0" borderId="45" xfId="4" applyFont="1" applyFill="1" applyBorder="1" applyAlignment="1">
      <alignment horizontal="right" vertical="center"/>
    </xf>
    <xf numFmtId="43" fontId="37" fillId="0" borderId="45" xfId="4" applyFont="1" applyBorder="1" applyAlignment="1">
      <alignment horizontal="right" vertical="center"/>
    </xf>
    <xf numFmtId="43" fontId="39" fillId="0" borderId="45" xfId="4" applyFont="1" applyBorder="1" applyAlignment="1">
      <alignment horizontal="right" vertical="center"/>
    </xf>
    <xf numFmtId="43" fontId="37" fillId="16" borderId="45" xfId="4" applyFont="1" applyFill="1" applyBorder="1" applyAlignment="1">
      <alignment horizontal="right" vertical="center"/>
    </xf>
    <xf numFmtId="43" fontId="37" fillId="0" borderId="45" xfId="4" applyFont="1" applyBorder="1" applyAlignment="1">
      <alignment horizontal="left" vertical="center"/>
    </xf>
    <xf numFmtId="10" fontId="37" fillId="0" borderId="45" xfId="3" applyNumberFormat="1" applyFont="1" applyBorder="1" applyAlignment="1">
      <alignment horizontal="left" vertical="center"/>
    </xf>
    <xf numFmtId="43" fontId="39" fillId="0" borderId="45" xfId="4" applyFont="1" applyBorder="1" applyAlignment="1">
      <alignment horizontal="left" vertical="center"/>
    </xf>
    <xf numFmtId="10" fontId="39" fillId="0" borderId="45" xfId="3" applyNumberFormat="1" applyFont="1" applyBorder="1" applyAlignment="1">
      <alignment horizontal="left" vertical="center"/>
    </xf>
    <xf numFmtId="43" fontId="37" fillId="17" borderId="45" xfId="4" applyFont="1" applyFill="1" applyBorder="1" applyAlignment="1">
      <alignment horizontal="left" vertical="center"/>
    </xf>
    <xf numFmtId="10" fontId="37" fillId="17" borderId="45" xfId="3" applyNumberFormat="1" applyFont="1" applyFill="1" applyBorder="1" applyAlignment="1">
      <alignment horizontal="left" vertical="center"/>
    </xf>
    <xf numFmtId="49" fontId="37" fillId="16" borderId="45" xfId="5" applyNumberFormat="1" applyFont="1" applyFill="1" applyBorder="1" applyAlignment="1">
      <alignment horizontal="left" vertical="center"/>
    </xf>
    <xf numFmtId="43" fontId="37" fillId="16" borderId="45" xfId="4" applyFont="1" applyFill="1" applyBorder="1" applyAlignment="1">
      <alignment horizontal="center" vertical="center"/>
    </xf>
    <xf numFmtId="10" fontId="37" fillId="16" borderId="45" xfId="3" applyNumberFormat="1" applyFont="1" applyFill="1" applyBorder="1" applyAlignment="1">
      <alignment horizontal="center" vertical="center"/>
    </xf>
    <xf numFmtId="43" fontId="39" fillId="0" borderId="45" xfId="4" applyFont="1" applyFill="1" applyBorder="1" applyAlignment="1">
      <alignment horizontal="left" vertical="center"/>
    </xf>
    <xf numFmtId="10" fontId="39" fillId="0" borderId="45" xfId="3" applyNumberFormat="1" applyFont="1" applyFill="1" applyBorder="1" applyAlignment="1">
      <alignment horizontal="left" vertical="center"/>
    </xf>
    <xf numFmtId="43" fontId="37" fillId="0" borderId="45" xfId="4" applyFont="1" applyFill="1" applyBorder="1" applyAlignment="1">
      <alignment horizontal="left" vertical="center"/>
    </xf>
    <xf numFmtId="10" fontId="37" fillId="0" borderId="45" xfId="3" applyNumberFormat="1" applyFont="1" applyFill="1" applyBorder="1" applyAlignment="1">
      <alignment horizontal="left" vertical="center"/>
    </xf>
    <xf numFmtId="43" fontId="37" fillId="16" borderId="45" xfId="4" applyFont="1" applyFill="1" applyBorder="1" applyAlignment="1">
      <alignment horizontal="left" vertical="center"/>
    </xf>
    <xf numFmtId="10" fontId="37" fillId="16" borderId="45" xfId="3" applyNumberFormat="1" applyFont="1" applyFill="1" applyBorder="1" applyAlignment="1">
      <alignment horizontal="left" vertical="center"/>
    </xf>
    <xf numFmtId="0" fontId="40" fillId="0" borderId="0" xfId="0" applyFont="1" applyAlignment="1">
      <alignment horizontal="left" vertical="center"/>
    </xf>
    <xf numFmtId="0" fontId="33" fillId="13" borderId="12" xfId="5" applyFont="1" applyFill="1" applyBorder="1" applyAlignment="1">
      <alignment horizontal="center" vertical="center" wrapText="1"/>
    </xf>
    <xf numFmtId="49" fontId="41" fillId="0" borderId="42" xfId="5" quotePrefix="1" applyNumberFormat="1" applyFont="1" applyBorder="1" applyAlignment="1">
      <alignment horizontal="left" vertical="center" wrapText="1"/>
    </xf>
    <xf numFmtId="0" fontId="42" fillId="0" borderId="42" xfId="0" quotePrefix="1" applyFont="1" applyBorder="1" applyAlignment="1">
      <alignment horizontal="left" vertical="center" wrapText="1"/>
    </xf>
    <xf numFmtId="49" fontId="41" fillId="0" borderId="45" xfId="5" applyNumberFormat="1" applyFont="1" applyBorder="1" applyAlignment="1">
      <alignment horizontal="left" vertical="center" wrapText="1"/>
    </xf>
    <xf numFmtId="0" fontId="42" fillId="0" borderId="42" xfId="0" applyFont="1" applyBorder="1" applyAlignment="1">
      <alignment vertical="center" wrapText="1"/>
    </xf>
    <xf numFmtId="49" fontId="33" fillId="0" borderId="45" xfId="5" applyNumberFormat="1" applyFont="1" applyBorder="1" applyAlignment="1">
      <alignment horizontal="left" vertical="center" wrapText="1"/>
    </xf>
    <xf numFmtId="49" fontId="41" fillId="9" borderId="45" xfId="5" applyNumberFormat="1" applyFont="1" applyFill="1" applyBorder="1" applyAlignment="1">
      <alignment horizontal="left" vertical="center" wrapText="1"/>
    </xf>
    <xf numFmtId="49" fontId="41" fillId="9" borderId="46" xfId="5" applyNumberFormat="1" applyFont="1" applyFill="1" applyBorder="1" applyAlignment="1">
      <alignment horizontal="left" vertical="center" wrapText="1"/>
    </xf>
    <xf numFmtId="49" fontId="41" fillId="0" borderId="46" xfId="5" applyNumberFormat="1" applyFont="1" applyBorder="1" applyAlignment="1">
      <alignment horizontal="left" vertical="center" wrapText="1"/>
    </xf>
    <xf numFmtId="49" fontId="40" fillId="0" borderId="45" xfId="5" quotePrefix="1" applyNumberFormat="1" applyFont="1" applyBorder="1" applyAlignment="1">
      <alignment horizontal="left" vertical="center" wrapText="1"/>
    </xf>
    <xf numFmtId="0" fontId="40" fillId="0" borderId="0" xfId="0" applyFont="1"/>
    <xf numFmtId="0" fontId="30" fillId="0" borderId="16" xfId="2" applyFont="1" applyBorder="1" applyAlignment="1" applyProtection="1">
      <alignment horizontal="left" vertical="top"/>
    </xf>
    <xf numFmtId="9" fontId="4" fillId="3" borderId="7" xfId="0" applyNumberFormat="1" applyFont="1" applyFill="1" applyBorder="1" applyAlignment="1" applyProtection="1">
      <alignment vertical="top"/>
      <protection locked="0"/>
    </xf>
    <xf numFmtId="167" fontId="4" fillId="6" borderId="8" xfId="0" applyNumberFormat="1" applyFont="1" applyFill="1" applyBorder="1" applyAlignment="1">
      <alignment horizontal="center" vertical="top"/>
    </xf>
    <xf numFmtId="10" fontId="4" fillId="4" borderId="8" xfId="0" applyNumberFormat="1" applyFont="1" applyFill="1" applyBorder="1" applyAlignment="1">
      <alignment horizontal="center" vertical="top"/>
    </xf>
    <xf numFmtId="10" fontId="25" fillId="6" borderId="8" xfId="0" applyNumberFormat="1" applyFont="1" applyFill="1" applyBorder="1" applyAlignment="1">
      <alignment horizontal="center" vertical="top"/>
    </xf>
    <xf numFmtId="0" fontId="4" fillId="18" borderId="8" xfId="0" applyFont="1" applyFill="1" applyBorder="1" applyAlignment="1">
      <alignment vertical="top" wrapText="1"/>
    </xf>
    <xf numFmtId="0" fontId="39" fillId="18" borderId="45" xfId="5" applyFont="1" applyFill="1" applyBorder="1" applyAlignment="1">
      <alignment horizontal="center" vertical="center"/>
    </xf>
    <xf numFmtId="49" fontId="39" fillId="18" borderId="45" xfId="5" applyNumberFormat="1" applyFont="1" applyFill="1" applyBorder="1" applyAlignment="1">
      <alignment horizontal="center" vertical="center"/>
    </xf>
    <xf numFmtId="49" fontId="37" fillId="18" borderId="45" xfId="5" applyNumberFormat="1" applyFont="1" applyFill="1" applyBorder="1" applyAlignment="1">
      <alignment horizontal="center" vertical="center"/>
    </xf>
    <xf numFmtId="0" fontId="37" fillId="18" borderId="45" xfId="5" applyFont="1" applyFill="1" applyBorder="1" applyAlignment="1">
      <alignment horizontal="left" vertical="center"/>
    </xf>
    <xf numFmtId="43" fontId="39" fillId="18" borderId="45" xfId="4" applyFont="1" applyFill="1" applyBorder="1" applyAlignment="1">
      <alignment horizontal="right" vertical="center"/>
    </xf>
    <xf numFmtId="10" fontId="39" fillId="18" borderId="45" xfId="3" applyNumberFormat="1" applyFont="1" applyFill="1" applyBorder="1" applyAlignment="1">
      <alignment horizontal="right" vertical="center"/>
    </xf>
    <xf numFmtId="49" fontId="37" fillId="18" borderId="0" xfId="5" applyNumberFormat="1" applyFont="1" applyFill="1" applyAlignment="1">
      <alignment horizontal="center" vertical="center"/>
    </xf>
    <xf numFmtId="0" fontId="0" fillId="18" borderId="0" xfId="0" applyFill="1"/>
    <xf numFmtId="0" fontId="37" fillId="18" borderId="45" xfId="5" applyFont="1" applyFill="1" applyBorder="1" applyAlignment="1">
      <alignment horizontal="center" vertical="center"/>
    </xf>
    <xf numFmtId="43" fontId="37" fillId="18" borderId="45" xfId="4" applyFont="1" applyFill="1" applyBorder="1" applyAlignment="1">
      <alignment horizontal="right" vertical="center"/>
    </xf>
    <xf numFmtId="10" fontId="37" fillId="18" borderId="45" xfId="3" applyNumberFormat="1" applyFont="1" applyFill="1" applyBorder="1" applyAlignment="1">
      <alignment horizontal="right" vertical="center"/>
    </xf>
    <xf numFmtId="0" fontId="22" fillId="18" borderId="0" xfId="0" applyFont="1" applyFill="1"/>
    <xf numFmtId="0" fontId="37" fillId="9" borderId="45" xfId="5" applyFont="1" applyFill="1" applyBorder="1" applyAlignment="1">
      <alignment horizontal="left" vertical="center"/>
    </xf>
    <xf numFmtId="0" fontId="39" fillId="9" borderId="45" xfId="5" applyFont="1" applyFill="1" applyBorder="1" applyAlignment="1">
      <alignment horizontal="left" vertical="center"/>
    </xf>
    <xf numFmtId="0" fontId="31" fillId="12" borderId="15" xfId="5" applyFont="1" applyFill="1" applyBorder="1" applyAlignment="1">
      <alignment horizontal="left" vertical="center" wrapText="1"/>
    </xf>
    <xf numFmtId="0" fontId="0" fillId="0" borderId="16" xfId="0" applyBorder="1" applyAlignment="1" applyProtection="1">
      <alignment horizontal="center" vertical="center"/>
      <protection locked="0"/>
    </xf>
    <xf numFmtId="0" fontId="14" fillId="0" borderId="16" xfId="0" applyFont="1" applyBorder="1" applyAlignment="1">
      <alignment horizontal="left" vertical="center"/>
    </xf>
    <xf numFmtId="0" fontId="24" fillId="0" borderId="16" xfId="2" applyFont="1" applyBorder="1" applyAlignment="1" applyProtection="1">
      <alignment horizontal="left" vertical="center" wrapText="1"/>
    </xf>
    <xf numFmtId="9" fontId="0" fillId="6" borderId="0" xfId="3" applyFont="1" applyFill="1" applyAlignment="1" applyProtection="1">
      <alignment horizontal="center" vertical="center"/>
      <protection hidden="1"/>
    </xf>
    <xf numFmtId="0" fontId="0" fillId="6" borderId="16" xfId="3" applyNumberFormat="1" applyFont="1" applyFill="1" applyBorder="1" applyAlignment="1" applyProtection="1">
      <alignment horizontal="left" vertical="center"/>
    </xf>
    <xf numFmtId="0" fontId="7" fillId="6" borderId="16" xfId="3" applyNumberFormat="1" applyFont="1" applyFill="1" applyBorder="1" applyAlignment="1" applyProtection="1">
      <alignment horizontal="left" vertical="center" wrapText="1"/>
      <protection hidden="1"/>
    </xf>
    <xf numFmtId="0" fontId="7" fillId="6" borderId="18" xfId="3" applyNumberFormat="1" applyFont="1" applyFill="1" applyBorder="1" applyAlignment="1" applyProtection="1">
      <alignment horizontal="left" vertical="center" wrapText="1"/>
      <protection hidden="1"/>
    </xf>
    <xf numFmtId="0" fontId="7" fillId="6" borderId="19" xfId="3" applyNumberFormat="1" applyFont="1" applyFill="1" applyBorder="1" applyAlignment="1" applyProtection="1">
      <alignment horizontal="left" vertical="center"/>
    </xf>
    <xf numFmtId="9" fontId="0" fillId="6" borderId="16" xfId="3" applyFont="1" applyFill="1" applyBorder="1" applyAlignment="1" applyProtection="1">
      <alignment horizontal="center" vertical="center"/>
      <protection hidden="1"/>
    </xf>
    <xf numFmtId="9" fontId="0" fillId="6" borderId="16" xfId="3" applyFont="1" applyFill="1" applyBorder="1" applyAlignment="1" applyProtection="1">
      <alignment horizontal="center" vertical="center" wrapText="1"/>
      <protection hidden="1"/>
    </xf>
    <xf numFmtId="0" fontId="17" fillId="0" borderId="35" xfId="2" applyBorder="1" applyAlignment="1">
      <alignment vertical="center"/>
    </xf>
    <xf numFmtId="0" fontId="4" fillId="3" borderId="7"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8" fillId="0" borderId="7" xfId="0" applyFont="1" applyBorder="1" applyAlignment="1">
      <alignment horizontal="center" vertical="center" wrapText="1"/>
    </xf>
    <xf numFmtId="0" fontId="8" fillId="3" borderId="11" xfId="0" applyFont="1" applyFill="1" applyBorder="1" applyAlignment="1" applyProtection="1">
      <alignment horizontal="left" vertical="center"/>
      <protection locked="0"/>
    </xf>
    <xf numFmtId="0" fontId="8" fillId="3" borderId="8" xfId="0" applyFont="1" applyFill="1" applyBorder="1" applyAlignment="1" applyProtection="1">
      <alignment vertical="top" wrapText="1"/>
      <protection locked="0"/>
    </xf>
    <xf numFmtId="9" fontId="4" fillId="3" borderId="8" xfId="0" applyNumberFormat="1" applyFont="1" applyFill="1" applyBorder="1" applyAlignment="1" applyProtection="1">
      <alignment vertical="center"/>
      <protection locked="0"/>
    </xf>
    <xf numFmtId="0" fontId="0" fillId="0" borderId="5" xfId="0" applyBorder="1" applyAlignment="1" applyProtection="1">
      <alignment vertical="center"/>
      <protection locked="0"/>
    </xf>
    <xf numFmtId="0" fontId="17" fillId="3" borderId="8" xfId="2" applyFill="1" applyBorder="1" applyAlignment="1" applyProtection="1">
      <alignment horizontal="left" vertical="top" wrapText="1"/>
      <protection locked="0"/>
    </xf>
    <xf numFmtId="0" fontId="8" fillId="3" borderId="8" xfId="0" applyFont="1" applyFill="1" applyBorder="1" applyAlignment="1" applyProtection="1">
      <alignment horizontal="left" vertical="center"/>
      <protection locked="0"/>
    </xf>
    <xf numFmtId="3" fontId="8" fillId="3" borderId="8" xfId="0" applyNumberFormat="1" applyFont="1" applyFill="1" applyBorder="1" applyAlignment="1" applyProtection="1">
      <alignment vertical="center" wrapText="1"/>
      <protection locked="0"/>
    </xf>
    <xf numFmtId="0" fontId="8" fillId="3" borderId="8" xfId="0" applyFont="1" applyFill="1" applyBorder="1" applyAlignment="1" applyProtection="1">
      <alignment vertical="center" wrapText="1"/>
      <protection locked="0"/>
    </xf>
    <xf numFmtId="9" fontId="8" fillId="3" borderId="13" xfId="0" applyNumberFormat="1" applyFont="1" applyFill="1" applyBorder="1" applyAlignment="1" applyProtection="1">
      <alignment horizontal="center" vertical="center" wrapText="1"/>
      <protection locked="0"/>
    </xf>
    <xf numFmtId="0" fontId="8" fillId="3" borderId="12" xfId="0" applyFont="1" applyFill="1" applyBorder="1" applyAlignment="1" applyProtection="1">
      <alignment horizontal="left" vertical="center" wrapText="1"/>
      <protection locked="0"/>
    </xf>
    <xf numFmtId="0" fontId="8" fillId="3" borderId="8" xfId="0" applyFont="1" applyFill="1" applyBorder="1" applyAlignment="1" applyProtection="1">
      <alignment horizontal="left" vertical="center" wrapText="1"/>
      <protection locked="0"/>
    </xf>
    <xf numFmtId="0" fontId="8" fillId="3" borderId="8" xfId="0" applyFont="1" applyFill="1" applyBorder="1" applyAlignment="1" applyProtection="1">
      <alignment horizontal="justify" vertical="center"/>
      <protection locked="0"/>
    </xf>
    <xf numFmtId="0" fontId="0" fillId="0" borderId="0" xfId="0" applyAlignment="1" applyProtection="1">
      <alignment vertical="center"/>
      <protection locked="0"/>
    </xf>
    <xf numFmtId="0" fontId="8" fillId="0" borderId="5" xfId="0" applyFont="1" applyBorder="1" applyAlignment="1" applyProtection="1">
      <alignment vertical="center" wrapText="1"/>
      <protection locked="0"/>
    </xf>
    <xf numFmtId="0" fontId="4" fillId="0" borderId="8" xfId="0" applyFont="1" applyBorder="1" applyAlignment="1" applyProtection="1">
      <alignment horizontal="center" vertical="center" wrapText="1"/>
      <protection locked="0"/>
    </xf>
    <xf numFmtId="0" fontId="0" fillId="0" borderId="13" xfId="0" applyBorder="1" applyAlignment="1" applyProtection="1">
      <alignment vertical="center"/>
      <protection locked="0"/>
    </xf>
    <xf numFmtId="0" fontId="28" fillId="0" borderId="5" xfId="0" applyFont="1" applyBorder="1" applyAlignment="1" applyProtection="1">
      <alignment vertical="center"/>
      <protection locked="0"/>
    </xf>
    <xf numFmtId="0" fontId="28" fillId="3" borderId="12" xfId="0" applyFont="1" applyFill="1" applyBorder="1" applyAlignment="1" applyProtection="1">
      <alignment vertical="center" wrapText="1"/>
      <protection locked="0"/>
    </xf>
    <xf numFmtId="9" fontId="8" fillId="3" borderId="8" xfId="0" applyNumberFormat="1" applyFont="1" applyFill="1" applyBorder="1" applyAlignment="1" applyProtection="1">
      <alignment horizontal="center" vertical="center"/>
      <protection locked="0"/>
    </xf>
    <xf numFmtId="9" fontId="4" fillId="3" borderId="8" xfId="0" applyNumberFormat="1" applyFont="1" applyFill="1" applyBorder="1" applyAlignment="1" applyProtection="1">
      <alignment horizontal="center" vertical="center"/>
      <protection locked="0"/>
    </xf>
    <xf numFmtId="0" fontId="8" fillId="6" borderId="8" xfId="0" applyFont="1" applyFill="1" applyBorder="1" applyAlignment="1" applyProtection="1">
      <alignment horizontal="left" vertical="center"/>
      <protection locked="0"/>
    </xf>
    <xf numFmtId="0" fontId="8" fillId="6" borderId="8" xfId="0" applyFont="1" applyFill="1" applyBorder="1" applyAlignment="1" applyProtection="1">
      <alignment horizontal="left" vertical="center" wrapText="1"/>
      <protection locked="0"/>
    </xf>
    <xf numFmtId="0" fontId="46" fillId="0" borderId="1" xfId="0" applyFont="1" applyBorder="1" applyAlignment="1">
      <alignment vertical="top"/>
    </xf>
    <xf numFmtId="0" fontId="4" fillId="0" borderId="0" xfId="0" applyFont="1" applyAlignment="1">
      <alignment vertical="center"/>
    </xf>
    <xf numFmtId="0" fontId="4" fillId="0" borderId="0" xfId="0" applyFont="1" applyAlignment="1">
      <alignment horizontal="center" vertical="center"/>
    </xf>
    <xf numFmtId="0" fontId="0" fillId="3" borderId="16" xfId="0" applyFill="1" applyBorder="1" applyAlignment="1">
      <alignment vertical="center"/>
    </xf>
    <xf numFmtId="0" fontId="20" fillId="0" borderId="0" xfId="0" applyFont="1" applyAlignment="1">
      <alignment vertical="center"/>
    </xf>
    <xf numFmtId="0" fontId="0" fillId="7" borderId="16" xfId="0" applyFill="1" applyBorder="1" applyAlignment="1">
      <alignment vertical="center"/>
    </xf>
    <xf numFmtId="0" fontId="4" fillId="0" borderId="0" xfId="0" applyFont="1" applyAlignment="1">
      <alignment horizontal="right" vertical="center"/>
    </xf>
    <xf numFmtId="9" fontId="7" fillId="6" borderId="12" xfId="0" applyNumberFormat="1" applyFont="1" applyFill="1" applyBorder="1" applyAlignment="1">
      <alignment horizontal="center" vertical="center"/>
    </xf>
    <xf numFmtId="0" fontId="0" fillId="6" borderId="20" xfId="0" applyFill="1" applyBorder="1" applyAlignment="1">
      <alignment vertical="center"/>
    </xf>
    <xf numFmtId="0" fontId="17" fillId="0" borderId="0" xfId="2" applyFill="1" applyAlignment="1">
      <alignment vertical="center"/>
    </xf>
    <xf numFmtId="0" fontId="0" fillId="0" borderId="0" xfId="0" applyAlignment="1">
      <alignment horizontal="center" vertical="center"/>
    </xf>
    <xf numFmtId="0" fontId="7" fillId="0" borderId="0" xfId="0" applyFont="1" applyAlignment="1">
      <alignment vertical="center" wrapText="1"/>
    </xf>
    <xf numFmtId="0" fontId="4" fillId="3" borderId="16" xfId="0" applyFont="1" applyFill="1" applyBorder="1" applyAlignment="1" applyProtection="1">
      <alignment horizontal="center" vertical="center" wrapText="1"/>
      <protection locked="0"/>
    </xf>
    <xf numFmtId="0" fontId="17" fillId="0" borderId="0" xfId="2" applyFill="1" applyBorder="1" applyAlignment="1">
      <alignment vertical="center"/>
    </xf>
    <xf numFmtId="0" fontId="7" fillId="0" borderId="0" xfId="0" applyFont="1" applyAlignment="1">
      <alignment horizontal="center" vertical="center"/>
    </xf>
    <xf numFmtId="0" fontId="7" fillId="3" borderId="16" xfId="0" applyFont="1" applyFill="1" applyBorder="1" applyAlignment="1" applyProtection="1">
      <alignment horizontal="center" vertical="center"/>
      <protection locked="0"/>
    </xf>
    <xf numFmtId="0" fontId="4" fillId="0" borderId="2" xfId="0" applyFont="1" applyBorder="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vertical="center" wrapText="1"/>
    </xf>
    <xf numFmtId="0" fontId="0" fillId="0" borderId="6" xfId="0" applyBorder="1" applyAlignment="1">
      <alignment vertical="center"/>
    </xf>
    <xf numFmtId="0" fontId="4" fillId="0" borderId="8" xfId="0" applyFont="1" applyBorder="1" applyAlignment="1">
      <alignment vertical="center" wrapText="1"/>
    </xf>
    <xf numFmtId="0" fontId="4" fillId="0" borderId="9" xfId="0" applyFont="1" applyBorder="1" applyAlignment="1">
      <alignment horizontal="center" vertical="center" wrapText="1"/>
    </xf>
    <xf numFmtId="0" fontId="4" fillId="0" borderId="7" xfId="0" applyFont="1" applyBorder="1" applyAlignment="1">
      <alignment vertical="center"/>
    </xf>
    <xf numFmtId="0" fontId="0" fillId="0" borderId="1" xfId="0" applyBorder="1" applyAlignment="1" applyProtection="1">
      <alignment vertical="center"/>
      <protection locked="0"/>
    </xf>
    <xf numFmtId="9" fontId="4" fillId="4" borderId="12" xfId="3" applyFont="1" applyFill="1" applyBorder="1" applyAlignment="1" applyProtection="1">
      <alignment horizontal="center" vertical="center"/>
    </xf>
    <xf numFmtId="0" fontId="4" fillId="0" borderId="13" xfId="0" applyFont="1" applyBorder="1" applyAlignment="1">
      <alignment vertical="center" wrapText="1"/>
    </xf>
    <xf numFmtId="0" fontId="4" fillId="0" borderId="10" xfId="0" applyFont="1" applyBorder="1" applyAlignment="1">
      <alignment horizontal="center" vertical="center" wrapText="1"/>
    </xf>
    <xf numFmtId="0" fontId="5" fillId="0" borderId="8" xfId="0" applyFont="1" applyBorder="1" applyAlignment="1">
      <alignment vertical="center" wrapText="1"/>
    </xf>
    <xf numFmtId="0" fontId="4" fillId="3" borderId="8" xfId="0" applyFont="1" applyFill="1" applyBorder="1" applyAlignment="1" applyProtection="1">
      <alignment vertical="center"/>
      <protection locked="0"/>
    </xf>
    <xf numFmtId="0" fontId="4" fillId="0" borderId="8" xfId="0" applyFont="1" applyBorder="1" applyAlignment="1" applyProtection="1">
      <alignment horizontal="left" vertical="center"/>
      <protection locked="0"/>
    </xf>
    <xf numFmtId="0" fontId="4" fillId="5" borderId="8" xfId="0" applyFont="1" applyFill="1" applyBorder="1" applyAlignment="1" applyProtection="1">
      <alignment vertical="center" wrapText="1"/>
      <protection locked="0"/>
    </xf>
    <xf numFmtId="0" fontId="12" fillId="0" borderId="14" xfId="0" applyFont="1" applyBorder="1" applyAlignment="1">
      <alignment vertical="center"/>
    </xf>
    <xf numFmtId="0" fontId="12" fillId="0" borderId="15" xfId="0" applyFont="1" applyBorder="1" applyAlignment="1">
      <alignment vertical="center"/>
    </xf>
    <xf numFmtId="0" fontId="12" fillId="0" borderId="7" xfId="0" applyFont="1" applyBorder="1" applyAlignment="1">
      <alignment vertical="center"/>
    </xf>
    <xf numFmtId="0" fontId="4" fillId="0" borderId="8" xfId="0" applyFont="1" applyBorder="1" applyAlignment="1">
      <alignment vertical="center"/>
    </xf>
    <xf numFmtId="17" fontId="4" fillId="0" borderId="13" xfId="0" applyNumberFormat="1" applyFont="1" applyBorder="1" applyAlignment="1">
      <alignment vertical="center" wrapText="1"/>
    </xf>
    <xf numFmtId="0" fontId="6" fillId="0" borderId="8" xfId="0" applyFont="1" applyBorder="1" applyAlignment="1">
      <alignment vertical="center" wrapText="1"/>
    </xf>
    <xf numFmtId="0" fontId="3" fillId="0" borderId="1" xfId="0" applyFont="1" applyBorder="1" applyAlignment="1">
      <alignment vertical="center" wrapText="1"/>
    </xf>
    <xf numFmtId="0" fontId="3" fillId="0" borderId="0" xfId="0" applyFont="1" applyAlignment="1">
      <alignment horizontal="center" vertical="center" wrapText="1"/>
    </xf>
    <xf numFmtId="0" fontId="4" fillId="0" borderId="12" xfId="0" applyFont="1" applyBorder="1" applyAlignment="1">
      <alignment vertical="center" wrapText="1"/>
    </xf>
    <xf numFmtId="0" fontId="4" fillId="0" borderId="14" xfId="0" applyFont="1" applyBorder="1" applyAlignment="1">
      <alignment horizontal="center" vertical="center" wrapText="1"/>
    </xf>
    <xf numFmtId="0" fontId="17" fillId="3" borderId="8" xfId="2" applyFill="1" applyBorder="1" applyAlignment="1" applyProtection="1">
      <alignment vertical="top" wrapText="1"/>
      <protection locked="0"/>
    </xf>
    <xf numFmtId="0" fontId="4" fillId="3" borderId="8" xfId="0" applyFont="1" applyFill="1" applyBorder="1" applyAlignment="1" applyProtection="1">
      <alignment vertical="center" wrapText="1"/>
      <protection locked="0"/>
    </xf>
    <xf numFmtId="0" fontId="7" fillId="0" borderId="0" xfId="0" applyFont="1"/>
    <xf numFmtId="0" fontId="8" fillId="19" borderId="47" xfId="0" applyFont="1" applyFill="1" applyBorder="1" applyAlignment="1">
      <alignment vertical="center" wrapText="1"/>
    </xf>
    <xf numFmtId="3" fontId="43" fillId="3" borderId="49" xfId="5" applyNumberFormat="1" applyFont="1" applyFill="1" applyBorder="1" applyAlignment="1">
      <alignment vertical="center" wrapText="1"/>
    </xf>
    <xf numFmtId="0" fontId="4" fillId="3" borderId="7" xfId="0" applyFont="1" applyFill="1" applyBorder="1" applyAlignment="1" applyProtection="1">
      <alignment horizontal="center" vertical="center" wrapText="1"/>
      <protection locked="0"/>
    </xf>
    <xf numFmtId="3" fontId="4" fillId="3" borderId="8" xfId="0" applyNumberFormat="1" applyFont="1" applyFill="1" applyBorder="1" applyAlignment="1" applyProtection="1">
      <alignment vertical="center"/>
      <protection locked="0"/>
    </xf>
    <xf numFmtId="3" fontId="4" fillId="3" borderId="8" xfId="0" applyNumberFormat="1" applyFont="1" applyFill="1" applyBorder="1" applyAlignment="1" applyProtection="1">
      <alignment horizontal="center" vertical="center"/>
      <protection locked="0"/>
    </xf>
    <xf numFmtId="3" fontId="4" fillId="4" borderId="8" xfId="0" applyNumberFormat="1" applyFont="1" applyFill="1" applyBorder="1" applyAlignment="1" applyProtection="1">
      <alignment horizontal="center" vertical="center"/>
      <protection locked="0"/>
    </xf>
    <xf numFmtId="0" fontId="4" fillId="3" borderId="7" xfId="0" applyFont="1" applyFill="1" applyBorder="1" applyAlignment="1" applyProtection="1">
      <alignment vertical="center"/>
      <protection locked="0"/>
    </xf>
    <xf numFmtId="0" fontId="4" fillId="3" borderId="7" xfId="0" applyFont="1" applyFill="1" applyBorder="1" applyAlignment="1" applyProtection="1">
      <alignment horizontal="right" vertical="center"/>
      <protection locked="0"/>
    </xf>
    <xf numFmtId="3" fontId="4" fillId="3" borderId="8" xfId="0" applyNumberFormat="1" applyFont="1" applyFill="1" applyBorder="1" applyAlignment="1" applyProtection="1">
      <alignment horizontal="right" vertical="center"/>
      <protection locked="0"/>
    </xf>
    <xf numFmtId="0" fontId="4" fillId="0" borderId="4" xfId="0" applyFont="1" applyBorder="1" applyAlignment="1">
      <alignment vertical="center" wrapText="1"/>
    </xf>
    <xf numFmtId="0" fontId="46" fillId="0" borderId="0" xfId="0" applyFont="1" applyAlignment="1">
      <alignment vertical="top"/>
    </xf>
    <xf numFmtId="0" fontId="49" fillId="3" borderId="50" xfId="0" applyFont="1" applyFill="1" applyBorder="1" applyAlignment="1">
      <alignment vertical="center" wrapText="1"/>
    </xf>
    <xf numFmtId="1" fontId="4" fillId="4" borderId="12" xfId="3" applyNumberFormat="1" applyFont="1" applyFill="1" applyBorder="1" applyAlignment="1">
      <alignment horizontal="center" vertical="center"/>
    </xf>
    <xf numFmtId="0" fontId="4" fillId="4" borderId="8" xfId="0" applyFont="1" applyFill="1" applyBorder="1" applyAlignment="1">
      <alignment horizontal="center" vertical="center"/>
    </xf>
    <xf numFmtId="0" fontId="9" fillId="3" borderId="14" xfId="0" applyFont="1" applyFill="1" applyBorder="1" applyAlignment="1">
      <alignment vertical="center" wrapText="1"/>
    </xf>
    <xf numFmtId="0" fontId="4" fillId="3" borderId="12" xfId="0" applyFont="1" applyFill="1" applyBorder="1" applyAlignment="1" applyProtection="1">
      <alignment vertical="center"/>
      <protection locked="0"/>
    </xf>
    <xf numFmtId="3" fontId="4" fillId="4" borderId="8" xfId="0" applyNumberFormat="1" applyFont="1" applyFill="1" applyBorder="1" applyAlignment="1">
      <alignment vertical="center" wrapText="1"/>
    </xf>
    <xf numFmtId="9" fontId="4" fillId="4" borderId="12" xfId="3" applyFont="1" applyFill="1" applyBorder="1" applyAlignment="1">
      <alignment vertical="center" wrapText="1"/>
    </xf>
    <xf numFmtId="3" fontId="4" fillId="3" borderId="8" xfId="0" applyNumberFormat="1" applyFont="1" applyFill="1" applyBorder="1" applyAlignment="1" applyProtection="1">
      <alignment horizontal="center" vertical="center" wrapText="1"/>
      <protection locked="0"/>
    </xf>
    <xf numFmtId="3" fontId="4" fillId="3" borderId="13" xfId="0" applyNumberFormat="1" applyFont="1" applyFill="1" applyBorder="1" applyAlignment="1" applyProtection="1">
      <alignment horizontal="center" vertical="center" wrapText="1"/>
      <protection locked="0"/>
    </xf>
    <xf numFmtId="0" fontId="51" fillId="3" borderId="8" xfId="2" applyFont="1" applyFill="1" applyBorder="1" applyAlignment="1" applyProtection="1">
      <alignment vertical="top" wrapText="1"/>
      <protection locked="0"/>
    </xf>
    <xf numFmtId="0" fontId="52" fillId="3" borderId="8" xfId="0" applyFont="1" applyFill="1" applyBorder="1" applyAlignment="1" applyProtection="1">
      <alignment vertical="top"/>
      <protection locked="0"/>
    </xf>
    <xf numFmtId="0" fontId="52" fillId="3" borderId="8" xfId="0" applyFont="1" applyFill="1" applyBorder="1" applyAlignment="1" applyProtection="1">
      <alignment horizontal="left" vertical="top" wrapText="1"/>
      <protection locked="0"/>
    </xf>
    <xf numFmtId="3" fontId="52" fillId="3" borderId="8" xfId="0" applyNumberFormat="1" applyFont="1" applyFill="1" applyBorder="1" applyAlignment="1" applyProtection="1">
      <alignment vertical="top"/>
      <protection locked="0"/>
    </xf>
    <xf numFmtId="0" fontId="52" fillId="0" borderId="8" xfId="0" applyFont="1" applyBorder="1" applyAlignment="1">
      <alignment vertical="top"/>
    </xf>
    <xf numFmtId="0" fontId="52" fillId="0" borderId="8" xfId="0" applyFont="1" applyBorder="1" applyAlignment="1">
      <alignment vertical="top" wrapText="1"/>
    </xf>
    <xf numFmtId="0" fontId="54" fillId="23" borderId="13" xfId="0" applyFont="1" applyFill="1" applyBorder="1" applyAlignment="1">
      <alignment horizontal="center" vertical="center" wrapText="1"/>
    </xf>
    <xf numFmtId="0" fontId="4" fillId="0" borderId="7" xfId="0" applyFont="1" applyBorder="1" applyAlignment="1">
      <alignment horizontal="center" vertical="center"/>
    </xf>
    <xf numFmtId="9" fontId="7" fillId="3" borderId="16" xfId="0" applyNumberFormat="1" applyFont="1" applyFill="1" applyBorder="1" applyAlignment="1">
      <alignment horizontal="right" vertical="center"/>
    </xf>
    <xf numFmtId="9" fontId="4" fillId="4" borderId="8" xfId="3" applyFont="1" applyFill="1" applyBorder="1" applyAlignment="1">
      <alignment horizontal="center" vertical="center" wrapText="1"/>
    </xf>
    <xf numFmtId="3" fontId="4" fillId="3" borderId="8" xfId="0" applyNumberFormat="1" applyFont="1" applyFill="1" applyBorder="1" applyAlignment="1" applyProtection="1">
      <alignment vertical="center" wrapText="1"/>
      <protection locked="0"/>
    </xf>
    <xf numFmtId="0" fontId="4" fillId="3" borderId="8" xfId="0" applyFont="1" applyFill="1" applyBorder="1" applyAlignment="1" applyProtection="1">
      <alignment horizontal="center" vertical="center" wrapText="1"/>
      <protection locked="0"/>
    </xf>
    <xf numFmtId="0" fontId="4" fillId="3" borderId="8" xfId="0" applyFont="1" applyFill="1" applyBorder="1" applyAlignment="1" applyProtection="1">
      <alignment horizontal="center" vertical="center"/>
      <protection locked="0"/>
    </xf>
    <xf numFmtId="0" fontId="4" fillId="9" borderId="8" xfId="0" applyFont="1" applyFill="1" applyBorder="1" applyAlignment="1">
      <alignment vertical="top" wrapText="1"/>
    </xf>
    <xf numFmtId="0" fontId="4" fillId="3" borderId="8" xfId="0" applyFont="1" applyFill="1" applyBorder="1" applyAlignment="1">
      <alignment horizontal="left" vertical="top" wrapText="1"/>
    </xf>
    <xf numFmtId="164" fontId="4" fillId="4" borderId="8" xfId="0" applyNumberFormat="1" applyFont="1" applyFill="1" applyBorder="1" applyAlignment="1">
      <alignment horizontal="center" vertical="center"/>
    </xf>
    <xf numFmtId="164" fontId="4" fillId="3" borderId="8" xfId="0" applyNumberFormat="1" applyFont="1" applyFill="1" applyBorder="1" applyAlignment="1" applyProtection="1">
      <alignment horizontal="center" vertical="center"/>
      <protection locked="0"/>
    </xf>
    <xf numFmtId="3" fontId="4" fillId="3" borderId="7" xfId="0" applyNumberFormat="1" applyFont="1" applyFill="1" applyBorder="1" applyAlignment="1" applyProtection="1">
      <alignment horizontal="center" vertical="center" wrapText="1"/>
      <protection locked="0"/>
    </xf>
    <xf numFmtId="3" fontId="4" fillId="3" borderId="7" xfId="0" applyNumberFormat="1" applyFont="1" applyFill="1" applyBorder="1" applyAlignment="1" applyProtection="1">
      <alignment horizontal="right" vertical="center" wrapText="1"/>
      <protection locked="0"/>
    </xf>
    <xf numFmtId="3" fontId="4" fillId="4" borderId="8" xfId="0" applyNumberFormat="1" applyFont="1" applyFill="1" applyBorder="1" applyAlignment="1">
      <alignment horizontal="center" vertical="center"/>
    </xf>
    <xf numFmtId="3" fontId="4" fillId="4" borderId="8" xfId="0" applyNumberFormat="1" applyFont="1" applyFill="1" applyBorder="1" applyAlignment="1">
      <alignment horizontal="center" vertical="center" wrapText="1"/>
    </xf>
    <xf numFmtId="9" fontId="4" fillId="3" borderId="12" xfId="0" applyNumberFormat="1" applyFont="1" applyFill="1" applyBorder="1" applyAlignment="1" applyProtection="1">
      <alignment horizontal="center" vertical="center"/>
      <protection locked="0"/>
    </xf>
    <xf numFmtId="9" fontId="4" fillId="4" borderId="12" xfId="0" applyNumberFormat="1" applyFont="1" applyFill="1" applyBorder="1" applyAlignment="1">
      <alignment horizontal="center" vertical="center"/>
    </xf>
    <xf numFmtId="9" fontId="4" fillId="4" borderId="8" xfId="3" applyFont="1" applyFill="1" applyBorder="1" applyAlignment="1" applyProtection="1">
      <alignment horizontal="center" vertical="center"/>
    </xf>
    <xf numFmtId="0" fontId="4" fillId="3" borderId="15" xfId="0" applyFont="1" applyFill="1" applyBorder="1" applyAlignment="1" applyProtection="1">
      <alignment horizontal="center" vertical="center" wrapText="1"/>
      <protection locked="0"/>
    </xf>
    <xf numFmtId="0" fontId="7" fillId="3" borderId="12" xfId="0" applyFont="1" applyFill="1" applyBorder="1" applyAlignment="1">
      <alignment vertical="center" wrapText="1"/>
    </xf>
    <xf numFmtId="0" fontId="4" fillId="6" borderId="8" xfId="0" applyFont="1" applyFill="1" applyBorder="1" applyAlignment="1">
      <alignment horizontal="center" vertical="center" wrapText="1"/>
    </xf>
    <xf numFmtId="0" fontId="4" fillId="0" borderId="8" xfId="0" applyFont="1" applyBorder="1" applyAlignment="1">
      <alignment horizontal="center" vertical="center"/>
    </xf>
    <xf numFmtId="9" fontId="4" fillId="4" borderId="8" xfId="0" applyNumberFormat="1" applyFont="1" applyFill="1" applyBorder="1" applyAlignment="1">
      <alignment horizontal="center" vertical="center"/>
    </xf>
    <xf numFmtId="3" fontId="4" fillId="4" borderId="8" xfId="0" applyNumberFormat="1" applyFont="1" applyFill="1" applyBorder="1" applyAlignment="1">
      <alignment horizontal="right" vertical="center"/>
    </xf>
    <xf numFmtId="0" fontId="31" fillId="12" borderId="15" xfId="5" applyFont="1" applyFill="1" applyBorder="1" applyAlignment="1">
      <alignment horizontal="center" vertical="center" wrapText="1"/>
    </xf>
    <xf numFmtId="0" fontId="4" fillId="6" borderId="8" xfId="0" applyFont="1" applyFill="1" applyBorder="1" applyAlignment="1">
      <alignment horizontal="center" vertical="center"/>
    </xf>
    <xf numFmtId="0" fontId="46" fillId="0" borderId="5" xfId="0" applyFont="1" applyBorder="1" applyAlignment="1" applyProtection="1">
      <alignment vertical="top"/>
      <protection locked="0"/>
    </xf>
    <xf numFmtId="0" fontId="46" fillId="0" borderId="6" xfId="0" applyFont="1" applyBorder="1"/>
    <xf numFmtId="3" fontId="4" fillId="4" borderId="8" xfId="0" applyNumberFormat="1" applyFont="1" applyFill="1" applyBorder="1" applyAlignment="1">
      <alignment vertical="center"/>
    </xf>
    <xf numFmtId="0" fontId="8" fillId="0" borderId="5" xfId="0" applyFont="1" applyBorder="1" applyAlignment="1">
      <alignment horizontal="center" vertical="center" wrapText="1"/>
    </xf>
    <xf numFmtId="0" fontId="46" fillId="0" borderId="1" xfId="0" applyFont="1" applyBorder="1" applyAlignment="1">
      <alignment horizontal="center" vertical="center"/>
    </xf>
    <xf numFmtId="0" fontId="4" fillId="6" borderId="8" xfId="0" applyFont="1" applyFill="1" applyBorder="1" applyAlignment="1">
      <alignment vertical="top" wrapText="1"/>
    </xf>
    <xf numFmtId="0" fontId="46" fillId="0" borderId="0" xfId="0" applyFont="1"/>
    <xf numFmtId="0" fontId="4" fillId="0" borderId="8" xfId="0" applyFont="1" applyBorder="1" applyAlignment="1" applyProtection="1">
      <alignment horizontal="left" vertical="top" wrapText="1"/>
      <protection locked="0"/>
    </xf>
    <xf numFmtId="0" fontId="12" fillId="0" borderId="0" xfId="0" applyFont="1" applyAlignment="1">
      <alignment vertical="top"/>
    </xf>
    <xf numFmtId="0" fontId="23" fillId="6" borderId="12" xfId="0" applyFont="1" applyFill="1" applyBorder="1" applyAlignment="1">
      <alignment vertical="top"/>
    </xf>
    <xf numFmtId="0" fontId="23" fillId="6" borderId="12" xfId="0" applyFont="1" applyFill="1" applyBorder="1" applyAlignment="1">
      <alignment horizontal="center" vertical="top"/>
    </xf>
    <xf numFmtId="0" fontId="4" fillId="0" borderId="11" xfId="0" applyFont="1" applyBorder="1" applyAlignment="1">
      <alignment horizontal="center" vertical="top"/>
    </xf>
    <xf numFmtId="0" fontId="48" fillId="3" borderId="16" xfId="0" applyFont="1" applyFill="1" applyBorder="1" applyAlignment="1" applyProtection="1">
      <alignment vertical="center"/>
      <protection locked="0"/>
    </xf>
    <xf numFmtId="0" fontId="48" fillId="3" borderId="32" xfId="0" applyFont="1" applyFill="1" applyBorder="1" applyAlignment="1" applyProtection="1">
      <alignment vertical="center"/>
      <protection locked="0"/>
    </xf>
    <xf numFmtId="168" fontId="48" fillId="20" borderId="32" xfId="0" applyNumberFormat="1" applyFont="1" applyFill="1" applyBorder="1" applyAlignment="1">
      <alignment horizontal="right" vertical="center"/>
    </xf>
    <xf numFmtId="0" fontId="48" fillId="3" borderId="37" xfId="0" applyFont="1" applyFill="1" applyBorder="1" applyAlignment="1" applyProtection="1">
      <alignment vertical="center"/>
      <protection locked="0"/>
    </xf>
    <xf numFmtId="0" fontId="4" fillId="3" borderId="36" xfId="0" applyFont="1" applyFill="1" applyBorder="1" applyAlignment="1" applyProtection="1">
      <alignment vertical="top"/>
      <protection locked="0"/>
    </xf>
    <xf numFmtId="0" fontId="48" fillId="3" borderId="20" xfId="0" applyFont="1" applyFill="1" applyBorder="1" applyAlignment="1" applyProtection="1">
      <alignment vertical="center" wrapText="1"/>
      <protection locked="0"/>
    </xf>
    <xf numFmtId="0" fontId="48" fillId="3" borderId="20" xfId="0" applyFont="1" applyFill="1" applyBorder="1" applyAlignment="1" applyProtection="1">
      <alignment vertical="center"/>
      <protection locked="0"/>
    </xf>
    <xf numFmtId="0" fontId="48" fillId="3" borderId="23" xfId="0" applyFont="1" applyFill="1" applyBorder="1" applyAlignment="1" applyProtection="1">
      <alignment vertical="center"/>
      <protection locked="0"/>
    </xf>
    <xf numFmtId="0" fontId="4" fillId="3" borderId="57" xfId="0" applyFont="1" applyFill="1" applyBorder="1" applyAlignment="1" applyProtection="1">
      <alignment vertical="top"/>
      <protection locked="0"/>
    </xf>
    <xf numFmtId="0" fontId="49" fillId="3" borderId="52" xfId="0" applyFont="1" applyFill="1" applyBorder="1" applyAlignment="1">
      <alignment vertical="center" wrapText="1"/>
    </xf>
    <xf numFmtId="0" fontId="48" fillId="3" borderId="58" xfId="0" applyFont="1" applyFill="1" applyBorder="1" applyAlignment="1" applyProtection="1">
      <alignment vertical="center" wrapText="1"/>
      <protection locked="0"/>
    </xf>
    <xf numFmtId="0" fontId="14" fillId="0" borderId="8" xfId="0" applyFont="1" applyBorder="1" applyAlignment="1">
      <alignment vertical="center"/>
    </xf>
    <xf numFmtId="3" fontId="4" fillId="4" borderId="13" xfId="0" applyNumberFormat="1" applyFont="1" applyFill="1" applyBorder="1" applyAlignment="1">
      <alignment vertical="center"/>
    </xf>
    <xf numFmtId="0" fontId="0" fillId="0" borderId="13" xfId="0" applyBorder="1" applyAlignment="1">
      <alignment vertical="center"/>
    </xf>
    <xf numFmtId="0" fontId="57" fillId="0" borderId="7" xfId="0" applyFont="1" applyBorder="1" applyAlignment="1">
      <alignment horizontal="center" vertical="top" wrapText="1"/>
    </xf>
    <xf numFmtId="0" fontId="58" fillId="0" borderId="4" xfId="0" applyFont="1" applyBorder="1" applyAlignment="1">
      <alignment horizontal="center" vertical="center" wrapText="1"/>
    </xf>
    <xf numFmtId="0" fontId="58" fillId="0" borderId="8" xfId="0" applyFont="1" applyBorder="1" applyAlignment="1">
      <alignment horizontal="center" vertical="center" wrapText="1"/>
    </xf>
    <xf numFmtId="0" fontId="59" fillId="3" borderId="8" xfId="0" applyFont="1" applyFill="1" applyBorder="1" applyAlignment="1" applyProtection="1">
      <alignment horizontal="center" vertical="center"/>
      <protection locked="0"/>
    </xf>
    <xf numFmtId="0" fontId="46" fillId="0" borderId="6" xfId="0" applyFont="1" applyBorder="1" applyAlignment="1">
      <alignment horizontal="center"/>
    </xf>
    <xf numFmtId="0" fontId="60" fillId="3" borderId="8" xfId="0" applyFont="1" applyFill="1" applyBorder="1" applyAlignment="1" applyProtection="1">
      <alignment horizontal="center" vertical="center"/>
      <protection locked="0"/>
    </xf>
    <xf numFmtId="0" fontId="57" fillId="0" borderId="7" xfId="0" applyFont="1" applyBorder="1" applyAlignment="1">
      <alignment horizontal="center" vertical="top"/>
    </xf>
    <xf numFmtId="0" fontId="58" fillId="0" borderId="6" xfId="0" applyFont="1" applyBorder="1" applyAlignment="1">
      <alignment horizontal="center" vertical="center" wrapText="1"/>
    </xf>
    <xf numFmtId="0" fontId="52" fillId="24" borderId="13" xfId="0" applyFont="1" applyFill="1" applyBorder="1" applyAlignment="1">
      <alignment vertical="center" wrapText="1"/>
    </xf>
    <xf numFmtId="0" fontId="4" fillId="3" borderId="11" xfId="0" applyFont="1" applyFill="1" applyBorder="1" applyAlignment="1" applyProtection="1">
      <alignment vertical="top"/>
      <protection locked="0"/>
    </xf>
    <xf numFmtId="3" fontId="52" fillId="3" borderId="11" xfId="0" applyNumberFormat="1" applyFont="1" applyFill="1" applyBorder="1" applyAlignment="1" applyProtection="1">
      <alignment vertical="top"/>
      <protection locked="0"/>
    </xf>
    <xf numFmtId="168" fontId="42" fillId="29" borderId="5" xfId="0" applyNumberFormat="1" applyFont="1" applyFill="1" applyBorder="1" applyAlignment="1">
      <alignment horizontal="right" vertical="center"/>
    </xf>
    <xf numFmtId="168" fontId="61" fillId="30" borderId="5" xfId="0" applyNumberFormat="1" applyFont="1" applyFill="1" applyBorder="1" applyAlignment="1">
      <alignment horizontal="right" vertical="center"/>
    </xf>
    <xf numFmtId="168" fontId="42" fillId="31" borderId="5" xfId="0" applyNumberFormat="1" applyFont="1" applyFill="1" applyBorder="1" applyAlignment="1">
      <alignment horizontal="right" vertical="center"/>
    </xf>
    <xf numFmtId="168" fontId="42" fillId="32" borderId="5" xfId="0" applyNumberFormat="1" applyFont="1" applyFill="1" applyBorder="1" applyAlignment="1">
      <alignment horizontal="right" vertical="center"/>
    </xf>
    <xf numFmtId="0" fontId="57" fillId="0" borderId="7" xfId="0" applyFont="1" applyBorder="1" applyAlignment="1">
      <alignment horizontal="center" vertical="center"/>
    </xf>
    <xf numFmtId="4" fontId="0" fillId="0" borderId="0" xfId="0" applyNumberFormat="1" applyAlignment="1">
      <alignment vertical="top"/>
    </xf>
    <xf numFmtId="0" fontId="4" fillId="3" borderId="31" xfId="0" applyFont="1" applyFill="1" applyBorder="1" applyAlignment="1">
      <alignment vertical="top" wrapText="1"/>
    </xf>
    <xf numFmtId="0" fontId="4" fillId="3" borderId="32" xfId="0" applyFont="1" applyFill="1" applyBorder="1" applyAlignment="1">
      <alignment vertical="top" wrapText="1"/>
    </xf>
    <xf numFmtId="0" fontId="4" fillId="3" borderId="11" xfId="0" applyFont="1" applyFill="1" applyBorder="1" applyAlignment="1">
      <alignment horizontal="center" vertical="top"/>
    </xf>
    <xf numFmtId="9" fontId="4" fillId="4" borderId="10" xfId="0" applyNumberFormat="1" applyFont="1" applyFill="1" applyBorder="1" applyAlignment="1">
      <alignment horizontal="right" vertical="top"/>
    </xf>
    <xf numFmtId="0" fontId="4" fillId="3" borderId="16" xfId="0" applyFont="1" applyFill="1" applyBorder="1" applyAlignment="1">
      <alignment vertical="top" wrapText="1"/>
    </xf>
    <xf numFmtId="0" fontId="4" fillId="3" borderId="16" xfId="0" applyFont="1" applyFill="1" applyBorder="1" applyAlignment="1">
      <alignment vertical="center" wrapText="1"/>
    </xf>
    <xf numFmtId="0" fontId="4" fillId="3" borderId="34" xfId="0" applyFont="1" applyFill="1" applyBorder="1" applyAlignment="1">
      <alignment vertical="top" wrapText="1"/>
    </xf>
    <xf numFmtId="0" fontId="4" fillId="21" borderId="34" xfId="0" applyFont="1" applyFill="1" applyBorder="1" applyAlignment="1">
      <alignment vertical="center" wrapText="1"/>
    </xf>
    <xf numFmtId="9" fontId="4" fillId="4" borderId="35" xfId="3" applyFont="1" applyFill="1" applyBorder="1" applyAlignment="1">
      <alignment horizontal="center" vertical="center" wrapText="1"/>
    </xf>
    <xf numFmtId="0" fontId="4" fillId="19" borderId="34" xfId="0" applyFont="1" applyFill="1" applyBorder="1" applyAlignment="1">
      <alignment vertical="center" wrapText="1"/>
    </xf>
    <xf numFmtId="0" fontId="4" fillId="25" borderId="34" xfId="0" applyFont="1" applyFill="1" applyBorder="1" applyAlignment="1">
      <alignment vertical="center" wrapText="1"/>
    </xf>
    <xf numFmtId="0" fontId="4" fillId="26" borderId="34" xfId="0" applyFont="1" applyFill="1" applyBorder="1" applyAlignment="1">
      <alignment vertical="center" wrapText="1"/>
    </xf>
    <xf numFmtId="0" fontId="4" fillId="22" borderId="38" xfId="0" applyFont="1" applyFill="1" applyBorder="1" applyAlignment="1">
      <alignment vertical="center" wrapText="1"/>
    </xf>
    <xf numFmtId="0" fontId="4" fillId="3" borderId="36" xfId="0" applyFont="1" applyFill="1" applyBorder="1" applyAlignment="1">
      <alignment vertical="center" wrapText="1"/>
    </xf>
    <xf numFmtId="9" fontId="7" fillId="3" borderId="36" xfId="0" applyNumberFormat="1" applyFont="1" applyFill="1" applyBorder="1" applyAlignment="1">
      <alignment horizontal="right" vertical="center"/>
    </xf>
    <xf numFmtId="9" fontId="4" fillId="4" borderId="39" xfId="3" applyFont="1" applyFill="1" applyBorder="1" applyAlignment="1">
      <alignment horizontal="center" vertical="center" wrapText="1"/>
    </xf>
    <xf numFmtId="0" fontId="4" fillId="3" borderId="11" xfId="0" applyFont="1" applyFill="1" applyBorder="1" applyAlignment="1">
      <alignment horizontal="center" vertical="top" wrapText="1"/>
    </xf>
    <xf numFmtId="0" fontId="14" fillId="3" borderId="11" xfId="0" applyFont="1" applyFill="1" applyBorder="1" applyAlignment="1" applyProtection="1">
      <alignment horizontal="center" vertical="top"/>
      <protection locked="0"/>
    </xf>
    <xf numFmtId="0" fontId="4" fillId="3" borderId="11" xfId="0" applyFont="1" applyFill="1" applyBorder="1" applyAlignment="1" applyProtection="1">
      <alignment horizontal="center" vertical="top"/>
      <protection locked="0"/>
    </xf>
    <xf numFmtId="0" fontId="4" fillId="3" borderId="34" xfId="0" applyFont="1" applyFill="1" applyBorder="1" applyAlignment="1">
      <alignment vertical="center" wrapText="1"/>
    </xf>
    <xf numFmtId="9" fontId="4" fillId="34" borderId="8" xfId="3" applyFont="1" applyFill="1" applyBorder="1" applyAlignment="1">
      <alignment horizontal="center" vertical="center" wrapText="1"/>
    </xf>
    <xf numFmtId="0" fontId="4" fillId="0" borderId="12" xfId="0" applyFont="1" applyBorder="1" applyAlignment="1" applyProtection="1">
      <alignment horizontal="left" vertical="top" wrapText="1"/>
      <protection locked="0"/>
    </xf>
    <xf numFmtId="0" fontId="57" fillId="0" borderId="15" xfId="0" applyFont="1" applyBorder="1" applyAlignment="1">
      <alignment horizontal="center" vertical="center"/>
    </xf>
    <xf numFmtId="0" fontId="4" fillId="3" borderId="56" xfId="0" applyFont="1" applyFill="1" applyBorder="1" applyAlignment="1" applyProtection="1">
      <alignment vertical="top"/>
      <protection locked="0"/>
    </xf>
    <xf numFmtId="0" fontId="0" fillId="3" borderId="20" xfId="0" applyFill="1" applyBorder="1" applyAlignment="1" applyProtection="1">
      <alignment horizontal="center" vertical="center"/>
      <protection locked="0"/>
    </xf>
    <xf numFmtId="0" fontId="0" fillId="3" borderId="57" xfId="0" applyFill="1" applyBorder="1" applyAlignment="1" applyProtection="1">
      <alignment horizontal="center" vertical="center"/>
      <protection locked="0"/>
    </xf>
    <xf numFmtId="0" fontId="4" fillId="3" borderId="12" xfId="0" applyFont="1" applyFill="1" applyBorder="1" applyAlignment="1" applyProtection="1">
      <alignment horizontal="center" vertical="top" wrapText="1"/>
      <protection locked="0"/>
    </xf>
    <xf numFmtId="0" fontId="0" fillId="3" borderId="51" xfId="0" applyFill="1" applyBorder="1" applyAlignment="1" applyProtection="1">
      <alignment horizontal="center" vertical="center"/>
      <protection locked="0"/>
    </xf>
    <xf numFmtId="0" fontId="64" fillId="3" borderId="8" xfId="0" applyFont="1" applyFill="1" applyBorder="1" applyAlignment="1" applyProtection="1">
      <alignment horizontal="left" vertical="top"/>
      <protection locked="0"/>
    </xf>
    <xf numFmtId="0" fontId="4" fillId="6" borderId="14" xfId="0" applyFont="1" applyFill="1" applyBorder="1" applyAlignment="1">
      <alignment horizontal="center" vertical="center"/>
    </xf>
    <xf numFmtId="0" fontId="4" fillId="6" borderId="12" xfId="0" applyFont="1" applyFill="1" applyBorder="1" applyAlignment="1">
      <alignment horizontal="center" vertical="center"/>
    </xf>
    <xf numFmtId="3" fontId="4" fillId="4" borderId="13" xfId="0" applyNumberFormat="1" applyFont="1" applyFill="1" applyBorder="1" applyAlignment="1">
      <alignment horizontal="center" vertical="center"/>
    </xf>
    <xf numFmtId="0" fontId="0" fillId="0" borderId="0" xfId="0" applyAlignment="1" applyProtection="1">
      <alignment horizontal="center" vertical="center"/>
      <protection locked="0"/>
    </xf>
    <xf numFmtId="0" fontId="4" fillId="3" borderId="8" xfId="0" applyFont="1" applyFill="1" applyBorder="1" applyAlignment="1" applyProtection="1">
      <alignment horizontal="left" vertical="center" wrapText="1"/>
      <protection locked="0"/>
    </xf>
    <xf numFmtId="0" fontId="4" fillId="25" borderId="64" xfId="0" applyFont="1" applyFill="1" applyBorder="1" applyAlignment="1">
      <alignment vertical="center" wrapText="1"/>
    </xf>
    <xf numFmtId="0" fontId="4" fillId="39" borderId="64" xfId="0" applyFont="1" applyFill="1" applyBorder="1" applyAlignment="1">
      <alignment vertical="center" wrapText="1"/>
    </xf>
    <xf numFmtId="9" fontId="4" fillId="6" borderId="8" xfId="0" applyNumberFormat="1" applyFont="1" applyFill="1" applyBorder="1" applyAlignment="1">
      <alignment horizontal="center" vertical="center"/>
    </xf>
    <xf numFmtId="9" fontId="4" fillId="4" borderId="8" xfId="3" applyFont="1" applyFill="1" applyBorder="1" applyAlignment="1" applyProtection="1">
      <alignment vertical="center"/>
    </xf>
    <xf numFmtId="9" fontId="0" fillId="0" borderId="0" xfId="0" applyNumberFormat="1" applyAlignment="1">
      <alignment vertical="center"/>
    </xf>
    <xf numFmtId="0" fontId="4" fillId="3" borderId="13" xfId="0" applyFont="1" applyFill="1" applyBorder="1" applyAlignment="1">
      <alignment horizontal="center" vertical="center"/>
    </xf>
    <xf numFmtId="0" fontId="6" fillId="0" borderId="0" xfId="0" applyFont="1" applyAlignment="1">
      <alignment horizontal="center" vertical="center" wrapText="1"/>
    </xf>
    <xf numFmtId="0" fontId="7" fillId="0" borderId="0" xfId="0" applyFont="1" applyAlignment="1">
      <alignment horizontal="right" vertical="center"/>
    </xf>
    <xf numFmtId="0" fontId="23" fillId="6" borderId="12" xfId="0" applyFont="1" applyFill="1" applyBorder="1" applyAlignment="1">
      <alignment vertical="center"/>
    </xf>
    <xf numFmtId="9" fontId="0" fillId="6" borderId="12" xfId="0" applyNumberFormat="1" applyFill="1" applyBorder="1" applyAlignment="1">
      <alignment horizontal="center" vertical="center"/>
    </xf>
    <xf numFmtId="0" fontId="17" fillId="0" borderId="0" xfId="2" applyFill="1" applyAlignment="1" applyProtection="1">
      <alignment vertical="center"/>
    </xf>
    <xf numFmtId="0" fontId="17" fillId="0" borderId="0" xfId="2" applyFill="1" applyBorder="1" applyAlignment="1" applyProtection="1">
      <alignment vertical="center"/>
    </xf>
    <xf numFmtId="0" fontId="46" fillId="0" borderId="0" xfId="0" applyFont="1" applyAlignment="1" applyProtection="1">
      <alignment vertical="center"/>
      <protection locked="0"/>
    </xf>
    <xf numFmtId="0" fontId="4" fillId="3" borderId="12" xfId="0" applyFont="1" applyFill="1" applyBorder="1" applyAlignment="1">
      <alignment horizontal="center" vertical="center"/>
    </xf>
    <xf numFmtId="0" fontId="4" fillId="3" borderId="10" xfId="0" applyFont="1" applyFill="1" applyBorder="1" applyAlignment="1" applyProtection="1">
      <alignment horizontal="center" vertical="center"/>
      <protection locked="0"/>
    </xf>
    <xf numFmtId="9" fontId="4" fillId="4" borderId="14" xfId="0" applyNumberFormat="1" applyFont="1" applyFill="1" applyBorder="1" applyAlignment="1">
      <alignment horizontal="center" vertical="center"/>
    </xf>
    <xf numFmtId="9" fontId="0" fillId="0" borderId="0" xfId="3" applyFont="1" applyAlignment="1" applyProtection="1">
      <alignment vertical="center"/>
    </xf>
    <xf numFmtId="0" fontId="4" fillId="0" borderId="13" xfId="0" applyFont="1" applyBorder="1" applyAlignment="1" applyProtection="1">
      <alignment vertical="center" wrapText="1"/>
      <protection locked="0"/>
    </xf>
    <xf numFmtId="0" fontId="4" fillId="0" borderId="10" xfId="0" applyFont="1" applyBorder="1" applyAlignment="1" applyProtection="1">
      <alignment horizontal="center" vertical="center" wrapText="1"/>
      <protection locked="0"/>
    </xf>
    <xf numFmtId="0" fontId="4" fillId="0" borderId="0" xfId="0" applyFont="1" applyAlignment="1" applyProtection="1">
      <alignment vertical="center"/>
      <protection locked="0"/>
    </xf>
    <xf numFmtId="0" fontId="4" fillId="0" borderId="0" xfId="0" applyFont="1" applyAlignment="1" applyProtection="1">
      <alignment horizontal="center" vertical="center"/>
      <protection locked="0"/>
    </xf>
    <xf numFmtId="0" fontId="4" fillId="0" borderId="6" xfId="0" applyFont="1" applyBorder="1" applyAlignment="1" applyProtection="1">
      <alignment horizontal="center" vertical="center" wrapText="1"/>
      <protection locked="0"/>
    </xf>
    <xf numFmtId="0" fontId="5" fillId="0" borderId="8" xfId="0" applyFont="1" applyBorder="1" applyAlignment="1" applyProtection="1">
      <alignment vertical="center" wrapText="1"/>
      <protection locked="0"/>
    </xf>
    <xf numFmtId="0" fontId="4" fillId="0" borderId="8" xfId="0" applyFont="1" applyBorder="1" applyAlignment="1" applyProtection="1">
      <alignment vertical="center" wrapText="1"/>
      <protection locked="0"/>
    </xf>
    <xf numFmtId="0" fontId="17" fillId="3" borderId="8" xfId="2" applyFill="1" applyBorder="1" applyAlignment="1" applyProtection="1">
      <alignment horizontal="left" vertical="center" wrapText="1"/>
      <protection locked="0"/>
    </xf>
    <xf numFmtId="0" fontId="7" fillId="0" borderId="0" xfId="0" applyFont="1" applyAlignment="1" applyProtection="1">
      <alignment vertical="center"/>
      <protection locked="0"/>
    </xf>
    <xf numFmtId="0" fontId="4" fillId="5" borderId="8" xfId="0" applyFont="1" applyFill="1" applyBorder="1" applyAlignment="1" applyProtection="1">
      <alignment horizontal="left" vertical="center"/>
      <protection locked="0"/>
    </xf>
    <xf numFmtId="0" fontId="12" fillId="0" borderId="14" xfId="0" applyFont="1" applyBorder="1" applyAlignment="1" applyProtection="1">
      <alignment vertical="center" wrapText="1"/>
      <protection locked="0"/>
    </xf>
    <xf numFmtId="0" fontId="12" fillId="0" borderId="15" xfId="0" applyFont="1" applyBorder="1" applyAlignment="1" applyProtection="1">
      <alignment vertical="center" wrapText="1"/>
      <protection locked="0"/>
    </xf>
    <xf numFmtId="0" fontId="12" fillId="0" borderId="7" xfId="0" applyFont="1" applyBorder="1" applyAlignment="1" applyProtection="1">
      <alignment vertical="center" wrapText="1"/>
      <protection locked="0"/>
    </xf>
    <xf numFmtId="17" fontId="4" fillId="0" borderId="13" xfId="0" applyNumberFormat="1" applyFont="1" applyBorder="1" applyAlignment="1" applyProtection="1">
      <alignment vertical="center" wrapText="1"/>
      <protection locked="0"/>
    </xf>
    <xf numFmtId="0" fontId="6" fillId="0" borderId="8" xfId="0" applyFont="1" applyBorder="1" applyAlignment="1" applyProtection="1">
      <alignment vertical="center" wrapText="1"/>
      <protection locked="0"/>
    </xf>
    <xf numFmtId="0" fontId="3" fillId="0" borderId="0" xfId="0" applyFont="1" applyAlignment="1" applyProtection="1">
      <alignment vertical="center"/>
      <protection locked="0"/>
    </xf>
    <xf numFmtId="0" fontId="3" fillId="0" borderId="0" xfId="0" applyFont="1" applyAlignment="1" applyProtection="1">
      <alignment horizontal="center" vertical="center"/>
      <protection locked="0"/>
    </xf>
    <xf numFmtId="0" fontId="3" fillId="0" borderId="1" xfId="0" applyFont="1" applyBorder="1" applyAlignment="1" applyProtection="1">
      <alignment vertical="center" wrapText="1"/>
      <protection locked="0"/>
    </xf>
    <xf numFmtId="0" fontId="3" fillId="0" borderId="0" xfId="0" applyFont="1" applyAlignment="1" applyProtection="1">
      <alignment horizontal="center" vertical="center" wrapText="1"/>
      <protection locked="0"/>
    </xf>
    <xf numFmtId="0" fontId="12" fillId="0" borderId="12" xfId="0" applyFont="1" applyBorder="1" applyAlignment="1" applyProtection="1">
      <alignment vertical="center" wrapText="1"/>
      <protection locked="0"/>
    </xf>
    <xf numFmtId="0" fontId="12" fillId="0" borderId="0" xfId="0" applyFont="1" applyAlignment="1" applyProtection="1">
      <alignment horizontal="center" vertical="center" wrapText="1"/>
      <protection locked="0"/>
    </xf>
    <xf numFmtId="0" fontId="7" fillId="0" borderId="0" xfId="0" applyFont="1" applyAlignment="1" applyProtection="1">
      <alignment horizontal="center" vertical="center"/>
      <protection locked="0"/>
    </xf>
    <xf numFmtId="0" fontId="4" fillId="0" borderId="12" xfId="0" applyFont="1" applyBorder="1" applyAlignment="1" applyProtection="1">
      <alignment vertical="center" wrapText="1"/>
      <protection locked="0"/>
    </xf>
    <xf numFmtId="0" fontId="4" fillId="0" borderId="7" xfId="0" applyFont="1" applyBorder="1" applyAlignment="1" applyProtection="1">
      <alignment horizontal="center" vertical="center" wrapText="1"/>
      <protection locked="0"/>
    </xf>
    <xf numFmtId="0" fontId="4" fillId="0" borderId="7" xfId="0" applyFont="1" applyBorder="1" applyAlignment="1" applyProtection="1">
      <alignment vertical="center" wrapText="1"/>
      <protection locked="0"/>
    </xf>
    <xf numFmtId="0" fontId="3" fillId="0" borderId="6" xfId="0" applyFont="1" applyBorder="1" applyAlignment="1" applyProtection="1">
      <alignment vertical="center" wrapText="1"/>
      <protection locked="0"/>
    </xf>
    <xf numFmtId="0" fontId="4" fillId="0" borderId="6" xfId="0" applyFont="1" applyBorder="1" applyAlignment="1" applyProtection="1">
      <alignment vertical="center" wrapText="1"/>
      <protection locked="0"/>
    </xf>
    <xf numFmtId="0" fontId="4" fillId="0" borderId="1"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0" fillId="0" borderId="6" xfId="0" applyBorder="1" applyAlignment="1" applyProtection="1">
      <alignment vertical="center" wrapText="1"/>
      <protection locked="0"/>
    </xf>
    <xf numFmtId="0" fontId="15" fillId="0" borderId="6" xfId="0" applyFont="1" applyBorder="1" applyAlignment="1" applyProtection="1">
      <alignment vertical="center" wrapText="1"/>
      <protection locked="0"/>
    </xf>
    <xf numFmtId="0" fontId="67" fillId="12" borderId="15" xfId="5" applyFont="1" applyFill="1" applyBorder="1" applyAlignment="1">
      <alignment wrapText="1"/>
    </xf>
    <xf numFmtId="0" fontId="28" fillId="0" borderId="0" xfId="0" applyFont="1"/>
    <xf numFmtId="0" fontId="28" fillId="0" borderId="6" xfId="0" applyFont="1" applyBorder="1"/>
    <xf numFmtId="3" fontId="8" fillId="3" borderId="8" xfId="0" applyNumberFormat="1" applyFont="1" applyFill="1" applyBorder="1" applyAlignment="1" applyProtection="1">
      <alignment horizontal="center" wrapText="1"/>
      <protection locked="0"/>
    </xf>
    <xf numFmtId="0" fontId="28" fillId="0" borderId="8" xfId="0" applyFont="1" applyBorder="1"/>
    <xf numFmtId="0" fontId="28" fillId="0" borderId="0" xfId="0" applyFont="1" applyProtection="1">
      <protection locked="0"/>
    </xf>
    <xf numFmtId="0" fontId="23" fillId="6" borderId="12" xfId="1" applyFont="1" applyFill="1" applyBorder="1" applyAlignment="1" applyProtection="1">
      <alignment vertical="top"/>
    </xf>
    <xf numFmtId="0" fontId="8" fillId="3" borderId="11" xfId="0" applyFont="1" applyFill="1" applyBorder="1" applyAlignment="1" applyProtection="1">
      <alignment horizontal="center" vertical="center"/>
      <protection locked="0"/>
    </xf>
    <xf numFmtId="0" fontId="8" fillId="3" borderId="8" xfId="0" applyFont="1" applyFill="1" applyBorder="1" applyAlignment="1" applyProtection="1">
      <alignment horizontal="center" vertical="center"/>
      <protection locked="0"/>
    </xf>
    <xf numFmtId="9" fontId="8" fillId="3" borderId="14" xfId="0" applyNumberFormat="1" applyFont="1" applyFill="1" applyBorder="1" applyAlignment="1" applyProtection="1">
      <alignment vertical="center"/>
      <protection locked="0"/>
    </xf>
    <xf numFmtId="9" fontId="8" fillId="3" borderId="12" xfId="0" applyNumberFormat="1" applyFont="1" applyFill="1" applyBorder="1" applyAlignment="1" applyProtection="1">
      <alignment vertical="center"/>
      <protection locked="0"/>
    </xf>
    <xf numFmtId="0" fontId="4" fillId="9" borderId="7" xfId="0" applyFont="1" applyFill="1" applyBorder="1" applyAlignment="1">
      <alignment horizontal="center" vertical="center"/>
    </xf>
    <xf numFmtId="0" fontId="7" fillId="0" borderId="0" xfId="0" applyFont="1" applyAlignment="1">
      <alignment wrapText="1"/>
    </xf>
    <xf numFmtId="0" fontId="68" fillId="0" borderId="33" xfId="0" applyFont="1" applyBorder="1" applyAlignment="1">
      <alignment vertical="center"/>
    </xf>
    <xf numFmtId="9" fontId="0" fillId="40" borderId="16" xfId="3" applyFont="1" applyFill="1" applyBorder="1" applyAlignment="1" applyProtection="1">
      <alignment horizontal="center" vertical="center"/>
      <protection hidden="1"/>
    </xf>
    <xf numFmtId="0" fontId="3" fillId="0" borderId="13" xfId="0" applyFont="1" applyBorder="1" applyAlignment="1">
      <alignment vertical="top"/>
    </xf>
    <xf numFmtId="0" fontId="4" fillId="3" borderId="31" xfId="0" applyFont="1" applyFill="1" applyBorder="1" applyAlignment="1" applyProtection="1">
      <alignment horizontal="center" vertical="center" wrapText="1"/>
      <protection locked="0"/>
    </xf>
    <xf numFmtId="0" fontId="7" fillId="3" borderId="67" xfId="0" applyFont="1" applyFill="1" applyBorder="1" applyAlignment="1" applyProtection="1">
      <alignment horizontal="center" vertical="center"/>
      <protection locked="0"/>
    </xf>
    <xf numFmtId="0" fontId="0" fillId="0" borderId="8" xfId="0" applyBorder="1" applyAlignment="1">
      <alignment vertical="center"/>
    </xf>
    <xf numFmtId="3" fontId="8" fillId="3" borderId="8" xfId="0" applyNumberFormat="1" applyFont="1" applyFill="1" applyBorder="1" applyAlignment="1" applyProtection="1">
      <alignment vertical="top" wrapText="1"/>
      <protection locked="0"/>
    </xf>
    <xf numFmtId="3" fontId="70" fillId="3" borderId="55" xfId="0" applyNumberFormat="1" applyFont="1" applyFill="1" applyBorder="1" applyAlignment="1" applyProtection="1">
      <alignment vertical="center" wrapText="1"/>
      <protection locked="0"/>
    </xf>
    <xf numFmtId="3" fontId="70" fillId="3" borderId="39" xfId="0" applyNumberFormat="1" applyFont="1" applyFill="1" applyBorder="1" applyAlignment="1" applyProtection="1">
      <alignment vertical="center" wrapText="1"/>
      <protection locked="0"/>
    </xf>
    <xf numFmtId="0" fontId="9" fillId="3" borderId="12" xfId="0" applyFont="1" applyFill="1" applyBorder="1" applyAlignment="1">
      <alignment wrapText="1"/>
    </xf>
    <xf numFmtId="0" fontId="9" fillId="3" borderId="12" xfId="0" applyFont="1" applyFill="1" applyBorder="1" applyAlignment="1">
      <alignment vertical="center" wrapText="1"/>
    </xf>
    <xf numFmtId="0" fontId="8" fillId="3" borderId="12" xfId="0" applyFont="1" applyFill="1" applyBorder="1" applyAlignment="1" applyProtection="1">
      <alignment vertical="top" wrapText="1"/>
      <protection locked="0"/>
    </xf>
    <xf numFmtId="0" fontId="52" fillId="3" borderId="8" xfId="0" applyFont="1" applyFill="1" applyBorder="1" applyAlignment="1" applyProtection="1">
      <alignment horizontal="center" vertical="center"/>
      <protection locked="0"/>
    </xf>
    <xf numFmtId="0" fontId="52" fillId="20" borderId="52" xfId="0" applyFont="1" applyFill="1" applyBorder="1" applyAlignment="1">
      <alignment vertical="center" wrapText="1"/>
    </xf>
    <xf numFmtId="0" fontId="52" fillId="22" borderId="50" xfId="0" applyFont="1" applyFill="1" applyBorder="1" applyAlignment="1">
      <alignment vertical="center" wrapText="1"/>
    </xf>
    <xf numFmtId="0" fontId="52" fillId="3" borderId="50" xfId="0" applyFont="1" applyFill="1" applyBorder="1" applyAlignment="1" applyProtection="1">
      <alignment vertical="top" wrapText="1"/>
      <protection locked="0"/>
    </xf>
    <xf numFmtId="0" fontId="52" fillId="24" borderId="51" xfId="0" applyFont="1" applyFill="1" applyBorder="1" applyAlignment="1">
      <alignment vertical="center" wrapText="1"/>
    </xf>
    <xf numFmtId="0" fontId="53" fillId="20" borderId="53" xfId="0" applyFont="1" applyFill="1" applyBorder="1" applyAlignment="1">
      <alignment horizontal="center" vertical="center" wrapText="1"/>
    </xf>
    <xf numFmtId="0" fontId="54" fillId="23" borderId="19" xfId="0" applyFont="1" applyFill="1" applyBorder="1" applyAlignment="1">
      <alignment horizontal="center" vertical="center" wrapText="1"/>
    </xf>
    <xf numFmtId="0" fontId="52" fillId="3" borderId="19" xfId="0" applyFont="1" applyFill="1" applyBorder="1" applyAlignment="1" applyProtection="1">
      <alignment horizontal="center" vertical="top" wrapText="1"/>
      <protection locked="0"/>
    </xf>
    <xf numFmtId="0" fontId="52" fillId="3" borderId="54" xfId="0" applyFont="1" applyFill="1" applyBorder="1" applyAlignment="1" applyProtection="1">
      <alignment horizontal="center" vertical="center" wrapText="1"/>
      <protection locked="0"/>
    </xf>
    <xf numFmtId="0" fontId="52" fillId="3" borderId="52" xfId="0" applyFont="1" applyFill="1" applyBorder="1" applyAlignment="1" applyProtection="1">
      <alignment horizontal="center" vertical="center" wrapText="1"/>
      <protection locked="0"/>
    </xf>
    <xf numFmtId="0" fontId="52" fillId="3" borderId="50" xfId="0" applyFont="1" applyFill="1" applyBorder="1" applyAlignment="1" applyProtection="1">
      <alignment horizontal="center" vertical="center"/>
      <protection locked="0"/>
    </xf>
    <xf numFmtId="0" fontId="52" fillId="3" borderId="51" xfId="0" applyFont="1" applyFill="1" applyBorder="1" applyAlignment="1" applyProtection="1">
      <alignment horizontal="center" vertical="center"/>
      <protection locked="0"/>
    </xf>
    <xf numFmtId="9" fontId="7" fillId="3" borderId="16" xfId="0" applyNumberFormat="1" applyFont="1" applyFill="1" applyBorder="1" applyAlignment="1">
      <alignment horizontal="center" vertical="center"/>
    </xf>
    <xf numFmtId="9" fontId="4" fillId="6" borderId="8" xfId="3" applyFont="1" applyFill="1" applyBorder="1" applyAlignment="1">
      <alignment horizontal="center" vertical="center"/>
    </xf>
    <xf numFmtId="9" fontId="4" fillId="4" borderId="8" xfId="3" applyFont="1" applyFill="1" applyBorder="1" applyAlignment="1">
      <alignment horizontal="center" vertical="center"/>
    </xf>
    <xf numFmtId="0" fontId="4" fillId="37" borderId="0" xfId="0" applyFont="1" applyFill="1" applyAlignment="1">
      <alignment horizontal="left" vertical="center" wrapText="1"/>
    </xf>
    <xf numFmtId="0" fontId="4" fillId="37" borderId="65" xfId="0" applyFont="1" applyFill="1" applyBorder="1" applyAlignment="1">
      <alignment horizontal="left" vertical="center" wrapText="1"/>
    </xf>
    <xf numFmtId="0" fontId="4" fillId="37" borderId="64" xfId="0" applyFont="1" applyFill="1" applyBorder="1" applyAlignment="1">
      <alignment vertical="center" wrapText="1"/>
    </xf>
    <xf numFmtId="0" fontId="4" fillId="35" borderId="64" xfId="0" applyFont="1" applyFill="1" applyBorder="1" applyAlignment="1">
      <alignment vertical="center" wrapText="1"/>
    </xf>
    <xf numFmtId="0" fontId="49" fillId="3" borderId="69" xfId="0" applyFont="1" applyFill="1" applyBorder="1" applyAlignment="1">
      <alignment vertical="center" wrapText="1"/>
    </xf>
    <xf numFmtId="0" fontId="48" fillId="3" borderId="30" xfId="0" applyFont="1" applyFill="1" applyBorder="1" applyAlignment="1" applyProtection="1">
      <alignment vertical="center"/>
      <protection locked="0"/>
    </xf>
    <xf numFmtId="0" fontId="29" fillId="0" borderId="4" xfId="0" applyFont="1" applyBorder="1" applyAlignment="1">
      <alignment horizontal="center" vertical="center" wrapText="1"/>
    </xf>
    <xf numFmtId="0" fontId="29" fillId="0" borderId="8" xfId="0" applyFont="1" applyBorder="1" applyAlignment="1">
      <alignment horizontal="center" vertical="center" wrapText="1"/>
    </xf>
    <xf numFmtId="169" fontId="4" fillId="3" borderId="8" xfId="0" applyNumberFormat="1" applyFont="1" applyFill="1" applyBorder="1" applyAlignment="1" applyProtection="1">
      <alignment vertical="center" wrapText="1"/>
      <protection locked="0"/>
    </xf>
    <xf numFmtId="168" fontId="71" fillId="24" borderId="8" xfId="0" applyNumberFormat="1" applyFont="1" applyFill="1" applyBorder="1" applyAlignment="1">
      <alignment horizontal="right" vertical="center"/>
    </xf>
    <xf numFmtId="168" fontId="71" fillId="20" borderId="8" xfId="0" applyNumberFormat="1" applyFont="1" applyFill="1" applyBorder="1" applyAlignment="1">
      <alignment horizontal="right" vertical="center"/>
    </xf>
    <xf numFmtId="168" fontId="71" fillId="20" borderId="11" xfId="0" applyNumberFormat="1" applyFont="1" applyFill="1" applyBorder="1" applyAlignment="1">
      <alignment horizontal="right" vertical="center"/>
    </xf>
    <xf numFmtId="168" fontId="71" fillId="20" borderId="13" xfId="0" applyNumberFormat="1" applyFont="1" applyFill="1" applyBorder="1" applyAlignment="1">
      <alignment horizontal="right" vertical="center"/>
    </xf>
    <xf numFmtId="10" fontId="4" fillId="3" borderId="32" xfId="0" applyNumberFormat="1" applyFont="1" applyFill="1" applyBorder="1" applyAlignment="1">
      <alignment horizontal="center" vertical="center" wrapText="1"/>
    </xf>
    <xf numFmtId="9" fontId="7" fillId="3" borderId="36" xfId="0" applyNumberFormat="1" applyFont="1" applyFill="1" applyBorder="1" applyAlignment="1">
      <alignment horizontal="center" vertical="center"/>
    </xf>
    <xf numFmtId="0" fontId="4" fillId="3" borderId="30" xfId="0" applyFont="1" applyFill="1" applyBorder="1" applyAlignment="1">
      <alignment vertical="center" wrapText="1"/>
    </xf>
    <xf numFmtId="9" fontId="4" fillId="34" borderId="70" xfId="3" applyFont="1" applyFill="1" applyBorder="1" applyAlignment="1">
      <alignment horizontal="center" vertical="center" wrapText="1"/>
    </xf>
    <xf numFmtId="0" fontId="4" fillId="3" borderId="71" xfId="0" applyFont="1" applyFill="1" applyBorder="1" applyAlignment="1">
      <alignment vertical="top" wrapText="1"/>
    </xf>
    <xf numFmtId="0" fontId="4" fillId="21" borderId="26" xfId="0" applyFont="1" applyFill="1" applyBorder="1" applyAlignment="1">
      <alignment vertical="center" wrapText="1"/>
    </xf>
    <xf numFmtId="0" fontId="14" fillId="3" borderId="12" xfId="0" applyFont="1" applyFill="1" applyBorder="1" applyAlignment="1" applyProtection="1">
      <alignment horizontal="center" vertical="top"/>
      <protection locked="0"/>
    </xf>
    <xf numFmtId="169" fontId="7" fillId="3" borderId="30" xfId="0" applyNumberFormat="1" applyFont="1" applyFill="1" applyBorder="1" applyAlignment="1" applyProtection="1">
      <alignment horizontal="right" vertical="center"/>
      <protection locked="0"/>
    </xf>
    <xf numFmtId="169" fontId="7" fillId="3" borderId="16" xfId="0" applyNumberFormat="1" applyFont="1" applyFill="1" applyBorder="1" applyAlignment="1" applyProtection="1">
      <alignment horizontal="right" vertical="center"/>
      <protection locked="0"/>
    </xf>
    <xf numFmtId="169" fontId="7" fillId="3" borderId="36" xfId="0" applyNumberFormat="1" applyFont="1" applyFill="1" applyBorder="1" applyAlignment="1" applyProtection="1">
      <alignment horizontal="right" vertical="center"/>
      <protection locked="0"/>
    </xf>
    <xf numFmtId="0" fontId="8" fillId="9" borderId="8" xfId="0" applyFont="1" applyFill="1" applyBorder="1" applyAlignment="1">
      <alignment horizontal="center" vertical="center" wrapText="1"/>
    </xf>
    <xf numFmtId="0" fontId="7" fillId="41" borderId="12" xfId="0" applyFont="1" applyFill="1" applyBorder="1" applyAlignment="1">
      <alignment vertical="top" wrapText="1"/>
    </xf>
    <xf numFmtId="0" fontId="0" fillId="41" borderId="12" xfId="0" applyFill="1" applyBorder="1" applyAlignment="1">
      <alignment vertical="top" wrapText="1"/>
    </xf>
    <xf numFmtId="0" fontId="0" fillId="41" borderId="12" xfId="0" applyFill="1" applyBorder="1" applyAlignment="1">
      <alignment vertical="center" wrapText="1"/>
    </xf>
    <xf numFmtId="0" fontId="7" fillId="41" borderId="12" xfId="0" applyFont="1" applyFill="1" applyBorder="1" applyAlignment="1">
      <alignment vertical="center"/>
    </xf>
    <xf numFmtId="0" fontId="7" fillId="41" borderId="12" xfId="0" applyFont="1" applyFill="1" applyBorder="1" applyAlignment="1">
      <alignment vertical="center" wrapText="1"/>
    </xf>
    <xf numFmtId="0" fontId="3" fillId="41" borderId="7" xfId="0" applyFont="1" applyFill="1" applyBorder="1" applyAlignment="1">
      <alignment horizontal="center" vertical="center" wrapText="1"/>
    </xf>
    <xf numFmtId="0" fontId="8" fillId="21" borderId="5" xfId="0" applyFont="1" applyFill="1" applyBorder="1" applyAlignment="1">
      <alignment vertical="center" wrapText="1"/>
    </xf>
    <xf numFmtId="0" fontId="8" fillId="3" borderId="6" xfId="0" applyFont="1" applyFill="1" applyBorder="1" applyAlignment="1" applyProtection="1">
      <alignment horizontal="left" vertical="center" wrapText="1"/>
      <protection locked="0"/>
    </xf>
    <xf numFmtId="3" fontId="43" fillId="3" borderId="63" xfId="5" applyNumberFormat="1" applyFont="1" applyFill="1" applyBorder="1" applyAlignment="1">
      <alignment vertical="center" wrapText="1"/>
    </xf>
    <xf numFmtId="3" fontId="3" fillId="4" borderId="12" xfId="0" applyNumberFormat="1" applyFont="1" applyFill="1" applyBorder="1" applyAlignment="1">
      <alignment horizontal="center" vertical="top"/>
    </xf>
    <xf numFmtId="0" fontId="3" fillId="3" borderId="7" xfId="0" applyFont="1" applyFill="1" applyBorder="1" applyAlignment="1" applyProtection="1">
      <alignment vertical="top"/>
      <protection locked="0"/>
    </xf>
    <xf numFmtId="3" fontId="3" fillId="4" borderId="13" xfId="0" applyNumberFormat="1" applyFont="1" applyFill="1" applyBorder="1" applyAlignment="1">
      <alignment horizontal="center" vertical="top"/>
    </xf>
    <xf numFmtId="3" fontId="4" fillId="4" borderId="12" xfId="0" applyNumberFormat="1" applyFont="1" applyFill="1" applyBorder="1" applyAlignment="1">
      <alignment vertical="center"/>
    </xf>
    <xf numFmtId="0" fontId="7" fillId="0" borderId="31" xfId="0" applyFont="1" applyBorder="1" applyAlignment="1">
      <alignment horizontal="center" vertical="center" wrapText="1"/>
    </xf>
    <xf numFmtId="0" fontId="7" fillId="0" borderId="32" xfId="0" applyFont="1" applyBorder="1" applyAlignment="1">
      <alignment horizontal="center" vertical="center" wrapText="1"/>
    </xf>
    <xf numFmtId="0" fontId="7" fillId="0" borderId="60" xfId="0" applyFont="1" applyBorder="1" applyAlignment="1">
      <alignment horizontal="center" vertical="center"/>
    </xf>
    <xf numFmtId="0" fontId="7" fillId="0" borderId="53" xfId="0" applyFont="1" applyBorder="1" applyAlignment="1">
      <alignment horizontal="center" vertical="center"/>
    </xf>
    <xf numFmtId="0" fontId="7" fillId="0" borderId="59" xfId="0" applyFont="1" applyBorder="1" applyAlignment="1" applyProtection="1">
      <alignment horizontal="center" vertical="center"/>
      <protection locked="0"/>
    </xf>
    <xf numFmtId="0" fontId="7" fillId="6" borderId="34" xfId="3" applyNumberFormat="1" applyFont="1" applyFill="1" applyBorder="1" applyAlignment="1" applyProtection="1">
      <alignment horizontal="left" vertical="center" wrapText="1"/>
      <protection hidden="1"/>
    </xf>
    <xf numFmtId="0" fontId="7" fillId="6" borderId="72" xfId="3" applyNumberFormat="1" applyFont="1" applyFill="1" applyBorder="1" applyAlignment="1" applyProtection="1">
      <alignment horizontal="left" vertical="center"/>
      <protection locked="0"/>
    </xf>
    <xf numFmtId="0" fontId="7" fillId="6" borderId="38" xfId="3" applyNumberFormat="1" applyFont="1" applyFill="1" applyBorder="1" applyAlignment="1" applyProtection="1">
      <alignment horizontal="left" vertical="center" wrapText="1"/>
      <protection hidden="1"/>
    </xf>
    <xf numFmtId="0" fontId="7" fillId="6" borderId="36" xfId="3" applyNumberFormat="1" applyFont="1" applyFill="1" applyBorder="1" applyAlignment="1" applyProtection="1">
      <alignment horizontal="left" vertical="center" wrapText="1"/>
      <protection hidden="1"/>
    </xf>
    <xf numFmtId="0" fontId="7" fillId="6" borderId="61" xfId="3" applyNumberFormat="1" applyFont="1" applyFill="1" applyBorder="1" applyAlignment="1" applyProtection="1">
      <alignment horizontal="left" vertical="center" wrapText="1"/>
      <protection hidden="1"/>
    </xf>
    <xf numFmtId="0" fontId="7" fillId="6" borderId="54" xfId="3" applyNumberFormat="1" applyFont="1" applyFill="1" applyBorder="1" applyAlignment="1" applyProtection="1">
      <alignment horizontal="left" vertical="center"/>
    </xf>
    <xf numFmtId="0" fontId="7" fillId="6" borderId="62" xfId="3" applyNumberFormat="1" applyFont="1" applyFill="1" applyBorder="1" applyAlignment="1" applyProtection="1">
      <alignment horizontal="left" vertical="center"/>
      <protection locked="0"/>
    </xf>
    <xf numFmtId="0" fontId="7" fillId="0" borderId="31" xfId="0" applyFont="1" applyBorder="1" applyAlignment="1">
      <alignment horizontal="center" vertical="center"/>
    </xf>
    <xf numFmtId="0" fontId="7" fillId="0" borderId="32" xfId="0" applyFont="1" applyBorder="1" applyAlignment="1">
      <alignment horizontal="center" vertical="center"/>
    </xf>
    <xf numFmtId="0" fontId="7" fillId="0" borderId="33" xfId="0" applyFont="1" applyBorder="1" applyAlignment="1">
      <alignment horizontal="center" vertical="center"/>
    </xf>
    <xf numFmtId="0" fontId="0" fillId="6" borderId="34" xfId="3" applyNumberFormat="1" applyFont="1" applyFill="1" applyBorder="1" applyAlignment="1" applyProtection="1">
      <alignment horizontal="left" vertical="center"/>
    </xf>
    <xf numFmtId="0" fontId="0" fillId="6" borderId="35" xfId="3" applyNumberFormat="1" applyFont="1" applyFill="1" applyBorder="1" applyAlignment="1" applyProtection="1">
      <alignment horizontal="left" vertical="center"/>
    </xf>
    <xf numFmtId="0" fontId="0" fillId="6" borderId="38" xfId="3" applyNumberFormat="1" applyFont="1" applyFill="1" applyBorder="1" applyAlignment="1" applyProtection="1">
      <alignment horizontal="left" vertical="center"/>
    </xf>
    <xf numFmtId="0" fontId="0" fillId="6" borderId="36" xfId="3" applyNumberFormat="1" applyFont="1" applyFill="1" applyBorder="1" applyAlignment="1" applyProtection="1">
      <alignment horizontal="left" vertical="center"/>
    </xf>
    <xf numFmtId="0" fontId="0" fillId="6" borderId="39" xfId="3" applyNumberFormat="1" applyFont="1" applyFill="1" applyBorder="1" applyAlignment="1" applyProtection="1">
      <alignment horizontal="left" vertical="center"/>
    </xf>
    <xf numFmtId="0" fontId="72" fillId="6" borderId="12" xfId="0" applyFont="1" applyFill="1" applyBorder="1" applyAlignment="1">
      <alignment vertical="top"/>
    </xf>
    <xf numFmtId="9" fontId="0" fillId="28" borderId="16" xfId="3" applyFont="1" applyFill="1" applyBorder="1" applyAlignment="1" applyProtection="1">
      <alignment horizontal="center" vertical="center"/>
      <protection hidden="1"/>
    </xf>
    <xf numFmtId="0" fontId="4" fillId="28" borderId="8" xfId="0" applyFont="1" applyFill="1" applyBorder="1" applyAlignment="1">
      <alignment vertical="top" wrapText="1"/>
    </xf>
    <xf numFmtId="0" fontId="4" fillId="0" borderId="8" xfId="0" applyFont="1" applyBorder="1" applyAlignment="1" applyProtection="1">
      <alignment vertical="top" wrapText="1"/>
      <protection locked="0"/>
    </xf>
    <xf numFmtId="9" fontId="8" fillId="3" borderId="7" xfId="0" applyNumberFormat="1" applyFont="1" applyFill="1" applyBorder="1" applyAlignment="1" applyProtection="1">
      <alignment horizontal="center" vertical="center"/>
      <protection locked="0"/>
    </xf>
    <xf numFmtId="0" fontId="73" fillId="0" borderId="0" xfId="0" applyFont="1" applyAlignment="1">
      <alignment vertical="center"/>
    </xf>
    <xf numFmtId="168" fontId="74" fillId="20" borderId="16" xfId="0" applyNumberFormat="1" applyFont="1" applyFill="1" applyBorder="1" applyAlignment="1">
      <alignment horizontal="right" vertical="center"/>
    </xf>
    <xf numFmtId="169" fontId="74" fillId="3" borderId="16" xfId="5" applyNumberFormat="1" applyFont="1" applyFill="1" applyBorder="1" applyAlignment="1">
      <alignment vertical="center" wrapText="1"/>
    </xf>
    <xf numFmtId="0" fontId="46" fillId="3" borderId="0" xfId="0" applyFont="1" applyFill="1"/>
    <xf numFmtId="0" fontId="48" fillId="3" borderId="26" xfId="0" applyFont="1" applyFill="1" applyBorder="1" applyAlignment="1" applyProtection="1">
      <alignment vertical="center"/>
      <protection locked="0"/>
    </xf>
    <xf numFmtId="168" fontId="74" fillId="20" borderId="30" xfId="0" applyNumberFormat="1" applyFont="1" applyFill="1" applyBorder="1" applyAlignment="1">
      <alignment horizontal="right" vertical="center"/>
    </xf>
    <xf numFmtId="0" fontId="48" fillId="3" borderId="56" xfId="0" applyFont="1" applyFill="1" applyBorder="1" applyAlignment="1" applyProtection="1">
      <alignment vertical="center" wrapText="1"/>
      <protection locked="0"/>
    </xf>
    <xf numFmtId="3" fontId="50" fillId="3" borderId="33" xfId="5" applyNumberFormat="1" applyFont="1" applyFill="1" applyBorder="1" applyAlignment="1">
      <alignment vertical="center" wrapText="1"/>
    </xf>
    <xf numFmtId="0" fontId="4" fillId="3" borderId="51" xfId="0" applyFont="1" applyFill="1" applyBorder="1" applyAlignment="1" applyProtection="1">
      <alignment horizontal="left" vertical="center" wrapText="1"/>
      <protection locked="0"/>
    </xf>
    <xf numFmtId="0" fontId="60" fillId="0" borderId="8" xfId="0" applyFont="1" applyBorder="1" applyAlignment="1">
      <alignment vertical="center"/>
    </xf>
    <xf numFmtId="9" fontId="4" fillId="4" borderId="12" xfId="3" applyFont="1" applyFill="1" applyBorder="1" applyAlignment="1">
      <alignment horizontal="center" vertical="center" wrapText="1"/>
    </xf>
    <xf numFmtId="168" fontId="75" fillId="20" borderId="56" xfId="0" applyNumberFormat="1" applyFont="1" applyFill="1" applyBorder="1" applyAlignment="1">
      <alignment horizontal="right" vertical="center"/>
    </xf>
    <xf numFmtId="168" fontId="75" fillId="20" borderId="32" xfId="0" applyNumberFormat="1" applyFont="1" applyFill="1" applyBorder="1" applyAlignment="1">
      <alignment horizontal="right" vertical="center"/>
    </xf>
    <xf numFmtId="168" fontId="75" fillId="20" borderId="60" xfId="0" applyNumberFormat="1" applyFont="1" applyFill="1" applyBorder="1" applyAlignment="1">
      <alignment horizontal="right" vertical="center"/>
    </xf>
    <xf numFmtId="0" fontId="4" fillId="3" borderId="59" xfId="0" applyFont="1" applyFill="1" applyBorder="1" applyAlignment="1">
      <alignment vertical="center" wrapText="1"/>
    </xf>
    <xf numFmtId="9" fontId="4" fillId="4" borderId="70" xfId="3" applyFont="1" applyFill="1" applyBorder="1" applyAlignment="1">
      <alignment horizontal="center" vertical="center" wrapText="1"/>
    </xf>
    <xf numFmtId="0" fontId="4" fillId="3" borderId="50" xfId="0" applyFont="1" applyFill="1" applyBorder="1" applyAlignment="1" applyProtection="1">
      <alignment vertical="center" wrapText="1"/>
      <protection locked="0"/>
    </xf>
    <xf numFmtId="0" fontId="4" fillId="3" borderId="69" xfId="0" applyFont="1" applyFill="1" applyBorder="1" applyAlignment="1">
      <alignment vertical="center" wrapText="1"/>
    </xf>
    <xf numFmtId="0" fontId="4" fillId="3" borderId="50" xfId="0" applyFont="1" applyFill="1" applyBorder="1" applyAlignment="1">
      <alignment vertical="center" wrapText="1"/>
    </xf>
    <xf numFmtId="9" fontId="4" fillId="3" borderId="16" xfId="0" applyNumberFormat="1" applyFont="1" applyFill="1" applyBorder="1" applyAlignment="1">
      <alignment horizontal="right" vertical="center" wrapText="1"/>
    </xf>
    <xf numFmtId="10" fontId="4" fillId="3" borderId="30" xfId="0" applyNumberFormat="1" applyFont="1" applyFill="1" applyBorder="1" applyAlignment="1">
      <alignment horizontal="center" vertical="center" wrapText="1"/>
    </xf>
    <xf numFmtId="9" fontId="4" fillId="28" borderId="35" xfId="0" applyNumberFormat="1" applyFont="1" applyFill="1" applyBorder="1" applyAlignment="1">
      <alignment horizontal="center" vertical="center" wrapText="1"/>
    </xf>
    <xf numFmtId="0" fontId="65" fillId="35" borderId="64" xfId="0" applyFont="1" applyFill="1" applyBorder="1" applyAlignment="1">
      <alignment vertical="center" wrapText="1"/>
    </xf>
    <xf numFmtId="0" fontId="65" fillId="35" borderId="65" xfId="0" applyFont="1" applyFill="1" applyBorder="1" applyAlignment="1">
      <alignment horizontal="left" vertical="center" wrapText="1"/>
    </xf>
    <xf numFmtId="0" fontId="65" fillId="35" borderId="64" xfId="0" applyFont="1" applyFill="1" applyBorder="1" applyAlignment="1">
      <alignment horizontal="left" vertical="center" wrapText="1"/>
    </xf>
    <xf numFmtId="0" fontId="4" fillId="25" borderId="0" xfId="0" applyFont="1" applyFill="1" applyAlignment="1">
      <alignment vertical="center" wrapText="1"/>
    </xf>
    <xf numFmtId="0" fontId="4" fillId="26" borderId="19" xfId="0" applyFont="1" applyFill="1" applyBorder="1" applyAlignment="1">
      <alignment vertical="center" wrapText="1"/>
    </xf>
    <xf numFmtId="0" fontId="65" fillId="35" borderId="0" xfId="0" applyFont="1" applyFill="1" applyAlignment="1">
      <alignment horizontal="left" vertical="center" wrapText="1"/>
    </xf>
    <xf numFmtId="3" fontId="66" fillId="3" borderId="59" xfId="5" applyNumberFormat="1" applyFont="1" applyFill="1" applyBorder="1" applyAlignment="1">
      <alignment vertical="center" wrapText="1"/>
    </xf>
    <xf numFmtId="0" fontId="69" fillId="3" borderId="72" xfId="0" applyFont="1" applyFill="1" applyBorder="1" applyAlignment="1">
      <alignment wrapText="1"/>
    </xf>
    <xf numFmtId="0" fontId="28" fillId="3" borderId="72" xfId="0" applyFont="1" applyFill="1" applyBorder="1" applyAlignment="1">
      <alignment vertical="center"/>
    </xf>
    <xf numFmtId="0" fontId="69" fillId="3" borderId="72" xfId="0" applyFont="1" applyFill="1" applyBorder="1" applyAlignment="1">
      <alignment vertical="center" wrapText="1"/>
    </xf>
    <xf numFmtId="3" fontId="66" fillId="3" borderId="72" xfId="5" applyNumberFormat="1" applyFont="1" applyFill="1" applyBorder="1" applyAlignment="1">
      <alignment wrapText="1"/>
    </xf>
    <xf numFmtId="0" fontId="69" fillId="3" borderId="72" xfId="0" applyFont="1" applyFill="1" applyBorder="1" applyAlignment="1">
      <alignment horizontal="justify" vertical="center" wrapText="1"/>
    </xf>
    <xf numFmtId="3" fontId="66" fillId="3" borderId="73" xfId="5" applyNumberFormat="1" applyFont="1" applyFill="1" applyBorder="1" applyAlignment="1">
      <alignment vertical="center" wrapText="1"/>
    </xf>
    <xf numFmtId="0" fontId="4" fillId="6" borderId="11" xfId="0" applyFont="1" applyFill="1" applyBorder="1" applyAlignment="1">
      <alignment horizontal="center" vertical="center"/>
    </xf>
    <xf numFmtId="0" fontId="4" fillId="6" borderId="13" xfId="0" applyFont="1" applyFill="1" applyBorder="1" applyAlignment="1">
      <alignment horizontal="center" vertical="center"/>
    </xf>
    <xf numFmtId="9" fontId="4" fillId="25" borderId="16" xfId="3" applyFont="1" applyFill="1" applyBorder="1" applyAlignment="1">
      <alignment horizontal="center" vertical="center"/>
    </xf>
    <xf numFmtId="9" fontId="7" fillId="36" borderId="16" xfId="3" applyFont="1" applyFill="1" applyBorder="1" applyAlignment="1">
      <alignment horizontal="center" vertical="center"/>
    </xf>
    <xf numFmtId="9" fontId="7" fillId="3" borderId="16" xfId="3" applyFont="1" applyFill="1" applyBorder="1" applyAlignment="1">
      <alignment horizontal="center" vertical="center" wrapText="1"/>
    </xf>
    <xf numFmtId="9" fontId="7" fillId="3" borderId="16" xfId="0" applyNumberFormat="1" applyFont="1" applyFill="1" applyBorder="1" applyAlignment="1">
      <alignment horizontal="center" vertical="center" wrapText="1"/>
    </xf>
    <xf numFmtId="168" fontId="8" fillId="37" borderId="16" xfId="0" applyNumberFormat="1" applyFont="1" applyFill="1" applyBorder="1" applyAlignment="1">
      <alignment horizontal="right" vertical="center"/>
    </xf>
    <xf numFmtId="169" fontId="4" fillId="37" borderId="16" xfId="0" applyNumberFormat="1" applyFont="1" applyFill="1" applyBorder="1" applyAlignment="1">
      <alignment horizontal="right" vertical="center"/>
    </xf>
    <xf numFmtId="9" fontId="4" fillId="37" borderId="16" xfId="3" applyFont="1" applyFill="1" applyBorder="1" applyAlignment="1">
      <alignment horizontal="center" vertical="center"/>
    </xf>
    <xf numFmtId="9" fontId="65" fillId="3" borderId="31" xfId="3" applyFont="1" applyFill="1" applyBorder="1" applyAlignment="1">
      <alignment horizontal="center" vertical="center" wrapText="1"/>
    </xf>
    <xf numFmtId="9" fontId="4" fillId="25" borderId="32" xfId="3" applyFont="1" applyFill="1" applyBorder="1" applyAlignment="1">
      <alignment horizontal="center" vertical="center"/>
    </xf>
    <xf numFmtId="168" fontId="8" fillId="25" borderId="32" xfId="0" applyNumberFormat="1" applyFont="1" applyFill="1" applyBorder="1" applyAlignment="1">
      <alignment horizontal="right" vertical="center"/>
    </xf>
    <xf numFmtId="168" fontId="4" fillId="25" borderId="32" xfId="0" applyNumberFormat="1" applyFont="1" applyFill="1" applyBorder="1" applyAlignment="1">
      <alignment horizontal="right" vertical="center"/>
    </xf>
    <xf numFmtId="168" fontId="4" fillId="25" borderId="33" xfId="0" applyNumberFormat="1" applyFont="1" applyFill="1" applyBorder="1" applyAlignment="1">
      <alignment horizontal="right" vertical="center"/>
    </xf>
    <xf numFmtId="9" fontId="65" fillId="3" borderId="34" xfId="3" applyFont="1" applyFill="1" applyBorder="1" applyAlignment="1">
      <alignment horizontal="center" vertical="center" wrapText="1"/>
    </xf>
    <xf numFmtId="9" fontId="7" fillId="38" borderId="34" xfId="3" applyFont="1" applyFill="1" applyBorder="1" applyAlignment="1">
      <alignment horizontal="center" vertical="center"/>
    </xf>
    <xf numFmtId="9" fontId="7" fillId="3" borderId="34" xfId="3" applyFont="1" applyFill="1" applyBorder="1" applyAlignment="1">
      <alignment horizontal="center" vertical="center" wrapText="1"/>
    </xf>
    <xf numFmtId="169" fontId="4" fillId="37" borderId="35" xfId="0" applyNumberFormat="1" applyFont="1" applyFill="1" applyBorder="1" applyAlignment="1">
      <alignment horizontal="right" vertical="center"/>
    </xf>
    <xf numFmtId="9" fontId="4" fillId="39" borderId="38" xfId="3" applyFont="1" applyFill="1" applyBorder="1" applyAlignment="1">
      <alignment horizontal="center" vertical="center"/>
    </xf>
    <xf numFmtId="9" fontId="4" fillId="39" borderId="36" xfId="3" applyFont="1" applyFill="1" applyBorder="1" applyAlignment="1">
      <alignment horizontal="center" vertical="center"/>
    </xf>
    <xf numFmtId="168" fontId="28" fillId="20" borderId="48" xfId="0" applyNumberFormat="1" applyFont="1" applyFill="1" applyBorder="1" applyAlignment="1">
      <alignment horizontal="right" vertical="center"/>
    </xf>
    <xf numFmtId="168" fontId="28" fillId="20" borderId="6" xfId="0" applyNumberFormat="1" applyFont="1" applyFill="1" applyBorder="1" applyAlignment="1">
      <alignment horizontal="right" vertical="center"/>
    </xf>
    <xf numFmtId="169" fontId="4" fillId="3" borderId="8" xfId="0" applyNumberFormat="1" applyFont="1" applyFill="1" applyBorder="1" applyAlignment="1" applyProtection="1">
      <alignment vertical="center"/>
      <protection locked="0"/>
    </xf>
    <xf numFmtId="169" fontId="7" fillId="3" borderId="8" xfId="0" applyNumberFormat="1" applyFont="1" applyFill="1" applyBorder="1" applyAlignment="1" applyProtection="1">
      <alignment vertical="center"/>
      <protection locked="0"/>
    </xf>
    <xf numFmtId="170" fontId="49" fillId="3" borderId="37" xfId="11" applyNumberFormat="1" applyFont="1" applyFill="1" applyBorder="1" applyAlignment="1" applyProtection="1">
      <alignment vertical="center"/>
      <protection locked="0"/>
    </xf>
    <xf numFmtId="168" fontId="49" fillId="20" borderId="16" xfId="0" applyNumberFormat="1" applyFont="1" applyFill="1" applyBorder="1" applyAlignment="1">
      <alignment horizontal="right" vertical="center"/>
    </xf>
    <xf numFmtId="44" fontId="7" fillId="3" borderId="36" xfId="11" applyFont="1" applyFill="1" applyBorder="1" applyAlignment="1" applyProtection="1">
      <alignment vertical="center"/>
      <protection locked="0"/>
    </xf>
    <xf numFmtId="169" fontId="7" fillId="3" borderId="36" xfId="0" applyNumberFormat="1" applyFont="1" applyFill="1" applyBorder="1" applyAlignment="1" applyProtection="1">
      <alignment horizontal="center" vertical="center"/>
      <protection locked="0"/>
    </xf>
    <xf numFmtId="0" fontId="7" fillId="3" borderId="8" xfId="0" applyFont="1" applyFill="1" applyBorder="1" applyAlignment="1" applyProtection="1">
      <alignment vertical="center" wrapText="1"/>
      <protection locked="0"/>
    </xf>
    <xf numFmtId="170" fontId="4" fillId="4" borderId="13" xfId="11" applyNumberFormat="1" applyFont="1" applyFill="1" applyBorder="1" applyAlignment="1">
      <alignment vertical="center"/>
    </xf>
    <xf numFmtId="170" fontId="4" fillId="4" borderId="13" xfId="11" applyNumberFormat="1" applyFont="1" applyFill="1" applyBorder="1" applyAlignment="1">
      <alignment horizontal="center" vertical="center"/>
    </xf>
    <xf numFmtId="170" fontId="4" fillId="4" borderId="13" xfId="11" applyNumberFormat="1" applyFont="1" applyFill="1" applyBorder="1" applyAlignment="1" applyProtection="1">
      <alignment vertical="center"/>
      <protection locked="0"/>
    </xf>
    <xf numFmtId="170" fontId="7" fillId="3" borderId="8" xfId="11" applyNumberFormat="1" applyFont="1" applyFill="1" applyBorder="1" applyAlignment="1" applyProtection="1">
      <alignment vertical="center"/>
      <protection locked="0"/>
    </xf>
    <xf numFmtId="170" fontId="4" fillId="4" borderId="13" xfId="11" applyNumberFormat="1" applyFont="1" applyFill="1" applyBorder="1" applyAlignment="1">
      <alignment vertical="top"/>
    </xf>
    <xf numFmtId="0" fontId="8" fillId="0" borderId="7" xfId="0" applyFont="1" applyBorder="1" applyAlignment="1">
      <alignment vertical="center" wrapText="1"/>
    </xf>
    <xf numFmtId="0" fontId="56" fillId="0" borderId="8" xfId="0" applyFont="1" applyBorder="1" applyAlignment="1">
      <alignment vertical="center" wrapText="1"/>
    </xf>
    <xf numFmtId="168" fontId="40" fillId="33" borderId="20" xfId="0" applyNumberFormat="1" applyFont="1" applyFill="1" applyBorder="1" applyAlignment="1">
      <alignment horizontal="right" vertical="center"/>
    </xf>
    <xf numFmtId="168" fontId="40" fillId="33" borderId="18" xfId="0" applyNumberFormat="1" applyFont="1" applyFill="1" applyBorder="1" applyAlignment="1">
      <alignment horizontal="right" vertical="center"/>
    </xf>
    <xf numFmtId="168" fontId="40" fillId="22" borderId="20" xfId="0" applyNumberFormat="1" applyFont="1" applyFill="1" applyBorder="1" applyAlignment="1">
      <alignment horizontal="right" vertical="center"/>
    </xf>
    <xf numFmtId="169" fontId="40" fillId="3" borderId="18" xfId="0" applyNumberFormat="1" applyFont="1" applyFill="1" applyBorder="1" applyAlignment="1" applyProtection="1">
      <alignment vertical="center"/>
      <protection locked="0"/>
    </xf>
    <xf numFmtId="168" fontId="40" fillId="24" borderId="57" xfId="0" applyNumberFormat="1" applyFont="1" applyFill="1" applyBorder="1" applyAlignment="1">
      <alignment horizontal="right" vertical="center"/>
    </xf>
    <xf numFmtId="168" fontId="40" fillId="20" borderId="61" xfId="0" applyNumberFormat="1" applyFont="1" applyFill="1" applyBorder="1" applyAlignment="1">
      <alignment horizontal="right" vertical="center"/>
    </xf>
    <xf numFmtId="170" fontId="52" fillId="4" borderId="13" xfId="11" applyNumberFormat="1" applyFont="1" applyFill="1" applyBorder="1" applyAlignment="1">
      <alignment vertical="top"/>
    </xf>
    <xf numFmtId="170" fontId="52" fillId="4" borderId="10" xfId="11" applyNumberFormat="1" applyFont="1" applyFill="1" applyBorder="1" applyAlignment="1">
      <alignment vertical="top"/>
    </xf>
    <xf numFmtId="170" fontId="4" fillId="0" borderId="12" xfId="11" applyNumberFormat="1" applyFont="1" applyBorder="1" applyAlignment="1">
      <alignment vertical="top"/>
    </xf>
    <xf numFmtId="169" fontId="7" fillId="3" borderId="30" xfId="4" applyNumberFormat="1" applyFont="1" applyFill="1" applyBorder="1" applyAlignment="1" applyProtection="1">
      <alignment horizontal="right" vertical="center"/>
      <protection locked="0"/>
    </xf>
    <xf numFmtId="169" fontId="7" fillId="3" borderId="16" xfId="4" applyNumberFormat="1" applyFont="1" applyFill="1" applyBorder="1" applyAlignment="1" applyProtection="1">
      <alignment horizontal="right" vertical="center"/>
      <protection locked="0"/>
    </xf>
    <xf numFmtId="168" fontId="14" fillId="25" borderId="16" xfId="0" applyNumberFormat="1" applyFont="1" applyFill="1" applyBorder="1" applyAlignment="1">
      <alignment horizontal="right" vertical="center"/>
    </xf>
    <xf numFmtId="168" fontId="14" fillId="25" borderId="35" xfId="0" applyNumberFormat="1" applyFont="1" applyFill="1" applyBorder="1" applyAlignment="1">
      <alignment horizontal="right" vertical="center"/>
    </xf>
    <xf numFmtId="168" fontId="14" fillId="35" borderId="16" xfId="0" applyNumberFormat="1" applyFont="1" applyFill="1" applyBorder="1" applyAlignment="1">
      <alignment horizontal="right" vertical="center"/>
    </xf>
    <xf numFmtId="168" fontId="14" fillId="35" borderId="35" xfId="0" applyNumberFormat="1" applyFont="1" applyFill="1" applyBorder="1" applyAlignment="1">
      <alignment horizontal="right" vertical="center"/>
    </xf>
    <xf numFmtId="0" fontId="14" fillId="35" borderId="16" xfId="0" applyFont="1" applyFill="1" applyBorder="1" applyAlignment="1">
      <alignment horizontal="right" vertical="center"/>
    </xf>
    <xf numFmtId="169" fontId="14" fillId="35" borderId="16" xfId="0" applyNumberFormat="1" applyFont="1" applyFill="1" applyBorder="1" applyAlignment="1">
      <alignment horizontal="right" vertical="center"/>
    </xf>
    <xf numFmtId="169" fontId="14" fillId="35" borderId="35" xfId="0" applyNumberFormat="1" applyFont="1" applyFill="1" applyBorder="1" applyAlignment="1">
      <alignment horizontal="right" vertical="center"/>
    </xf>
    <xf numFmtId="169" fontId="14" fillId="25" borderId="35" xfId="0" applyNumberFormat="1" applyFont="1" applyFill="1" applyBorder="1" applyAlignment="1">
      <alignment horizontal="right" vertical="center"/>
    </xf>
    <xf numFmtId="168" fontId="14" fillId="26" borderId="16" xfId="0" applyNumberFormat="1" applyFont="1" applyFill="1" applyBorder="1" applyAlignment="1">
      <alignment horizontal="right" vertical="center"/>
    </xf>
    <xf numFmtId="169" fontId="14" fillId="26" borderId="16" xfId="0" applyNumberFormat="1" applyFont="1" applyFill="1" applyBorder="1" applyAlignment="1">
      <alignment horizontal="right" vertical="center"/>
    </xf>
    <xf numFmtId="169" fontId="14" fillId="26" borderId="35" xfId="0" applyNumberFormat="1" applyFont="1" applyFill="1" applyBorder="1" applyAlignment="1">
      <alignment horizontal="right" vertical="center"/>
    </xf>
    <xf numFmtId="168" fontId="14" fillId="37" borderId="16" xfId="0" applyNumberFormat="1" applyFont="1" applyFill="1" applyBorder="1" applyAlignment="1">
      <alignment horizontal="right" vertical="center"/>
    </xf>
    <xf numFmtId="169" fontId="14" fillId="37" borderId="35" xfId="0" applyNumberFormat="1" applyFont="1" applyFill="1" applyBorder="1" applyAlignment="1">
      <alignment horizontal="right" vertical="center"/>
    </xf>
    <xf numFmtId="169" fontId="77" fillId="37" borderId="16" xfId="0" applyNumberFormat="1" applyFont="1" applyFill="1" applyBorder="1" applyAlignment="1">
      <alignment horizontal="right" vertical="center"/>
    </xf>
    <xf numFmtId="169" fontId="77" fillId="37" borderId="35" xfId="0" applyNumberFormat="1" applyFont="1" applyFill="1" applyBorder="1" applyAlignment="1">
      <alignment horizontal="right" vertical="center"/>
    </xf>
    <xf numFmtId="169" fontId="47" fillId="37" borderId="35" xfId="0" applyNumberFormat="1" applyFont="1" applyFill="1" applyBorder="1" applyAlignment="1">
      <alignment horizontal="right" vertical="center"/>
    </xf>
    <xf numFmtId="170" fontId="14" fillId="3" borderId="16" xfId="11" applyNumberFormat="1" applyFont="1" applyFill="1" applyBorder="1" applyAlignment="1">
      <alignment horizontal="right" vertical="center"/>
    </xf>
    <xf numFmtId="168" fontId="14" fillId="3" borderId="16" xfId="0" applyNumberFormat="1" applyFont="1" applyFill="1" applyBorder="1" applyAlignment="1">
      <alignment horizontal="right" vertical="center"/>
    </xf>
    <xf numFmtId="168" fontId="14" fillId="3" borderId="36" xfId="0" applyNumberFormat="1" applyFont="1" applyFill="1" applyBorder="1" applyAlignment="1">
      <alignment horizontal="right" vertical="center"/>
    </xf>
    <xf numFmtId="169" fontId="47" fillId="35" borderId="35" xfId="0" applyNumberFormat="1" applyFont="1" applyFill="1" applyBorder="1" applyAlignment="1">
      <alignment horizontal="right" vertical="center"/>
    </xf>
    <xf numFmtId="169" fontId="47" fillId="3" borderId="35" xfId="4" applyNumberFormat="1" applyFont="1" applyFill="1" applyBorder="1" applyAlignment="1">
      <alignment vertical="center" wrapText="1"/>
    </xf>
    <xf numFmtId="169" fontId="47" fillId="35" borderId="39" xfId="0" applyNumberFormat="1" applyFont="1" applyFill="1" applyBorder="1" applyAlignment="1">
      <alignment horizontal="right" vertical="center"/>
    </xf>
    <xf numFmtId="0" fontId="78" fillId="0" borderId="1" xfId="0" applyFont="1" applyBorder="1" applyAlignment="1">
      <alignment horizontal="center" vertical="center" wrapText="1"/>
    </xf>
    <xf numFmtId="0" fontId="79" fillId="0" borderId="1" xfId="0" applyFont="1" applyBorder="1"/>
    <xf numFmtId="0" fontId="78" fillId="0" borderId="4" xfId="0" applyFont="1" applyBorder="1" applyAlignment="1">
      <alignment horizontal="center" vertical="center" wrapText="1"/>
    </xf>
    <xf numFmtId="0" fontId="79" fillId="0" borderId="6" xfId="0" applyFont="1" applyBorder="1" applyAlignment="1">
      <alignment horizontal="center" vertical="center" wrapText="1"/>
    </xf>
    <xf numFmtId="0" fontId="78" fillId="0" borderId="7" xfId="0" applyFont="1" applyBorder="1" applyAlignment="1">
      <alignment horizontal="center" vertical="center"/>
    </xf>
    <xf numFmtId="0" fontId="62" fillId="0" borderId="8" xfId="0" applyFont="1" applyBorder="1" applyAlignment="1">
      <alignment horizontal="center" vertical="center"/>
    </xf>
    <xf numFmtId="0" fontId="17" fillId="0" borderId="8" xfId="2" applyFill="1" applyBorder="1" applyAlignment="1">
      <alignment horizontal="left" vertical="top" wrapText="1"/>
    </xf>
    <xf numFmtId="3" fontId="4" fillId="0" borderId="7" xfId="0" applyNumberFormat="1" applyFont="1" applyBorder="1" applyAlignment="1" applyProtection="1">
      <alignment horizontal="right" vertical="center" wrapText="1"/>
      <protection locked="0"/>
    </xf>
    <xf numFmtId="0" fontId="63" fillId="0" borderId="8" xfId="0" applyFont="1" applyBorder="1" applyAlignment="1" applyProtection="1">
      <alignment horizontal="center" vertical="center"/>
      <protection locked="0"/>
    </xf>
    <xf numFmtId="0" fontId="17" fillId="0" borderId="8" xfId="2" applyFill="1" applyBorder="1" applyAlignment="1" applyProtection="1">
      <alignment horizontal="left" vertical="top" wrapText="1"/>
      <protection locked="0"/>
    </xf>
    <xf numFmtId="0" fontId="4" fillId="0" borderId="2" xfId="0" applyFont="1" applyBorder="1" applyAlignment="1">
      <alignment vertical="center" wrapText="1"/>
    </xf>
    <xf numFmtId="0" fontId="30" fillId="0" borderId="0" xfId="5" applyFont="1" applyAlignment="1">
      <alignment vertical="center" wrapText="1"/>
    </xf>
    <xf numFmtId="0" fontId="30" fillId="0" borderId="0" xfId="5" applyFont="1" applyAlignment="1">
      <alignment vertical="center"/>
    </xf>
    <xf numFmtId="0" fontId="33" fillId="44" borderId="16" xfId="0" applyFont="1" applyFill="1" applyBorder="1" applyAlignment="1">
      <alignment horizontal="center" vertical="center" wrapText="1"/>
    </xf>
    <xf numFmtId="0" fontId="33" fillId="13" borderId="16" xfId="5" applyFont="1" applyFill="1" applyBorder="1" applyAlignment="1">
      <alignment horizontal="center" vertical="center" wrapText="1"/>
    </xf>
    <xf numFmtId="0" fontId="30" fillId="0" borderId="16" xfId="5" applyFont="1" applyBorder="1" applyAlignment="1">
      <alignment vertical="center" wrapText="1"/>
    </xf>
    <xf numFmtId="0" fontId="33" fillId="48" borderId="16" xfId="5" applyFont="1" applyFill="1" applyBorder="1" applyAlignment="1">
      <alignment horizontal="center" vertical="center" wrapText="1"/>
    </xf>
    <xf numFmtId="0" fontId="33" fillId="49" borderId="16" xfId="0" applyFont="1" applyFill="1" applyBorder="1" applyAlignment="1">
      <alignment horizontal="center" vertical="center" wrapText="1"/>
    </xf>
    <xf numFmtId="0" fontId="33" fillId="50" borderId="16" xfId="0" applyFont="1" applyFill="1" applyBorder="1" applyAlignment="1">
      <alignment horizontal="center" vertical="center" wrapText="1"/>
    </xf>
    <xf numFmtId="0" fontId="30" fillId="0" borderId="16" xfId="5" applyFont="1" applyBorder="1" applyAlignment="1">
      <alignment horizontal="center" vertical="center" wrapText="1"/>
    </xf>
    <xf numFmtId="0" fontId="33" fillId="50" borderId="16" xfId="11" applyNumberFormat="1" applyFont="1" applyFill="1" applyBorder="1" applyAlignment="1">
      <alignment horizontal="center" vertical="center" wrapText="1"/>
    </xf>
    <xf numFmtId="0" fontId="85" fillId="55" borderId="16" xfId="0" applyFont="1" applyFill="1" applyBorder="1" applyAlignment="1">
      <alignment vertical="center" wrapText="1"/>
    </xf>
    <xf numFmtId="3" fontId="33" fillId="56" borderId="16" xfId="5" applyNumberFormat="1" applyFont="1" applyFill="1" applyBorder="1" applyAlignment="1">
      <alignment vertical="center" wrapText="1"/>
    </xf>
    <xf numFmtId="1" fontId="33" fillId="56" borderId="16" xfId="5" applyNumberFormat="1" applyFont="1" applyFill="1" applyBorder="1" applyAlignment="1">
      <alignment horizontal="center" vertical="center" wrapText="1"/>
    </xf>
    <xf numFmtId="167" fontId="33" fillId="56" borderId="16" xfId="3" applyNumberFormat="1" applyFont="1" applyFill="1" applyBorder="1" applyAlignment="1">
      <alignment horizontal="center" vertical="center" wrapText="1"/>
    </xf>
    <xf numFmtId="0" fontId="33" fillId="56" borderId="16" xfId="5" applyFont="1" applyFill="1" applyBorder="1" applyAlignment="1">
      <alignment horizontal="center" vertical="center" wrapText="1"/>
    </xf>
    <xf numFmtId="3" fontId="33" fillId="56" borderId="16" xfId="5" applyNumberFormat="1" applyFont="1" applyFill="1" applyBorder="1" applyAlignment="1">
      <alignment horizontal="center" vertical="center" wrapText="1"/>
    </xf>
    <xf numFmtId="9" fontId="33" fillId="56" borderId="16" xfId="3" applyFont="1" applyFill="1" applyBorder="1" applyAlignment="1">
      <alignment horizontal="center" vertical="center" wrapText="1"/>
    </xf>
    <xf numFmtId="4" fontId="33" fillId="56" borderId="16" xfId="5" applyNumberFormat="1" applyFont="1" applyFill="1" applyBorder="1" applyAlignment="1">
      <alignment vertical="center" wrapText="1"/>
    </xf>
    <xf numFmtId="10" fontId="33" fillId="56" borderId="16" xfId="3" applyNumberFormat="1" applyFont="1" applyFill="1" applyBorder="1" applyAlignment="1">
      <alignment horizontal="right" vertical="center" wrapText="1"/>
    </xf>
    <xf numFmtId="10" fontId="33" fillId="56" borderId="16" xfId="3" applyNumberFormat="1" applyFont="1" applyFill="1" applyBorder="1" applyAlignment="1">
      <alignment horizontal="center" vertical="center" wrapText="1"/>
    </xf>
    <xf numFmtId="10" fontId="33" fillId="56" borderId="16" xfId="3" applyNumberFormat="1" applyFont="1" applyFill="1" applyBorder="1" applyAlignment="1">
      <alignment vertical="center" wrapText="1"/>
    </xf>
    <xf numFmtId="0" fontId="33" fillId="57" borderId="16" xfId="0" applyFont="1" applyFill="1" applyBorder="1" applyAlignment="1">
      <alignment vertical="center" wrapText="1"/>
    </xf>
    <xf numFmtId="3" fontId="33" fillId="58" borderId="16" xfId="5" applyNumberFormat="1" applyFont="1" applyFill="1" applyBorder="1" applyAlignment="1">
      <alignment vertical="center" wrapText="1"/>
    </xf>
    <xf numFmtId="1" fontId="33" fillId="58" borderId="16" xfId="5" applyNumberFormat="1" applyFont="1" applyFill="1" applyBorder="1" applyAlignment="1">
      <alignment horizontal="center" vertical="center" wrapText="1"/>
    </xf>
    <xf numFmtId="9" fontId="33" fillId="58" borderId="16" xfId="3" applyFont="1" applyFill="1" applyBorder="1" applyAlignment="1">
      <alignment horizontal="center" vertical="center" wrapText="1"/>
    </xf>
    <xf numFmtId="3" fontId="33" fillId="58" borderId="16" xfId="5" applyNumberFormat="1" applyFont="1" applyFill="1" applyBorder="1" applyAlignment="1">
      <alignment horizontal="center" vertical="center" wrapText="1"/>
    </xf>
    <xf numFmtId="167" fontId="33" fillId="58" borderId="16" xfId="3" applyNumberFormat="1" applyFont="1" applyFill="1" applyBorder="1" applyAlignment="1">
      <alignment horizontal="center" vertical="center" wrapText="1"/>
    </xf>
    <xf numFmtId="10" fontId="33" fillId="58" borderId="16" xfId="3" applyNumberFormat="1" applyFont="1" applyFill="1" applyBorder="1" applyAlignment="1">
      <alignment horizontal="right" vertical="center" wrapText="1"/>
    </xf>
    <xf numFmtId="4" fontId="33" fillId="58" borderId="16" xfId="5" applyNumberFormat="1" applyFont="1" applyFill="1" applyBorder="1" applyAlignment="1">
      <alignment vertical="center" wrapText="1"/>
    </xf>
    <xf numFmtId="10" fontId="33" fillId="58" borderId="16" xfId="3" applyNumberFormat="1" applyFont="1" applyFill="1" applyBorder="1" applyAlignment="1">
      <alignment horizontal="center" vertical="center" wrapText="1"/>
    </xf>
    <xf numFmtId="10" fontId="33" fillId="58" borderId="16" xfId="3" applyNumberFormat="1" applyFont="1" applyFill="1" applyBorder="1" applyAlignment="1">
      <alignment vertical="center" wrapText="1"/>
    </xf>
    <xf numFmtId="0" fontId="33" fillId="0" borderId="16" xfId="5" applyFont="1" applyBorder="1" applyAlignment="1">
      <alignment vertical="center" wrapText="1"/>
    </xf>
    <xf numFmtId="0" fontId="30" fillId="59" borderId="16" xfId="0" applyFont="1" applyFill="1" applyBorder="1" applyAlignment="1">
      <alignment vertical="center" wrapText="1"/>
    </xf>
    <xf numFmtId="3" fontId="30" fillId="46" borderId="16" xfId="5" applyNumberFormat="1" applyFont="1" applyFill="1" applyBorder="1" applyAlignment="1">
      <alignment vertical="center" wrapText="1"/>
    </xf>
    <xf numFmtId="1" fontId="30" fillId="46" borderId="16" xfId="5" applyNumberFormat="1" applyFont="1" applyFill="1" applyBorder="1" applyAlignment="1">
      <alignment horizontal="center" vertical="center" wrapText="1"/>
    </xf>
    <xf numFmtId="9" fontId="30" fillId="46" borderId="16" xfId="3" applyFont="1" applyFill="1" applyBorder="1" applyAlignment="1">
      <alignment horizontal="center" vertical="center" wrapText="1"/>
    </xf>
    <xf numFmtId="3" fontId="30" fillId="46" borderId="16" xfId="5" applyNumberFormat="1" applyFont="1" applyFill="1" applyBorder="1" applyAlignment="1">
      <alignment horizontal="center" vertical="center" wrapText="1"/>
    </xf>
    <xf numFmtId="167" fontId="30" fillId="46" borderId="16" xfId="3" applyNumberFormat="1" applyFont="1" applyFill="1" applyBorder="1" applyAlignment="1">
      <alignment horizontal="center" vertical="center" wrapText="1"/>
    </xf>
    <xf numFmtId="4" fontId="30" fillId="46" borderId="16" xfId="5" applyNumberFormat="1" applyFont="1" applyFill="1" applyBorder="1" applyAlignment="1">
      <alignment vertical="center" wrapText="1"/>
    </xf>
    <xf numFmtId="10" fontId="30" fillId="46" borderId="16" xfId="3" applyNumberFormat="1" applyFont="1" applyFill="1" applyBorder="1" applyAlignment="1">
      <alignment horizontal="right" vertical="center" wrapText="1"/>
    </xf>
    <xf numFmtId="10" fontId="30" fillId="46" borderId="16" xfId="3" applyNumberFormat="1" applyFont="1" applyFill="1" applyBorder="1" applyAlignment="1">
      <alignment horizontal="center" vertical="center" wrapText="1"/>
    </xf>
    <xf numFmtId="3" fontId="33" fillId="46" borderId="16" xfId="5" applyNumberFormat="1" applyFont="1" applyFill="1" applyBorder="1" applyAlignment="1">
      <alignment vertical="center" wrapText="1"/>
    </xf>
    <xf numFmtId="10" fontId="30" fillId="46" borderId="16" xfId="3" applyNumberFormat="1" applyFont="1" applyFill="1" applyBorder="1" applyAlignment="1">
      <alignment vertical="center" wrapText="1"/>
    </xf>
    <xf numFmtId="0" fontId="86" fillId="60" borderId="16" xfId="0" applyFont="1" applyFill="1" applyBorder="1" applyAlignment="1">
      <alignment vertical="center" wrapText="1"/>
    </xf>
    <xf numFmtId="0" fontId="40" fillId="0" borderId="16" xfId="0" applyFont="1" applyBorder="1" applyAlignment="1">
      <alignment horizontal="center" vertical="center" wrapText="1"/>
    </xf>
    <xf numFmtId="1" fontId="30" fillId="0" borderId="16" xfId="5" applyNumberFormat="1" applyFont="1" applyBorder="1" applyAlignment="1">
      <alignment horizontal="center" vertical="center" wrapText="1"/>
    </xf>
    <xf numFmtId="1" fontId="30" fillId="9" borderId="16" xfId="5" applyNumberFormat="1" applyFont="1" applyFill="1" applyBorder="1" applyAlignment="1">
      <alignment horizontal="center" vertical="center" wrapText="1"/>
    </xf>
    <xf numFmtId="9" fontId="30" fillId="0" borderId="16" xfId="3" applyFont="1" applyFill="1" applyBorder="1" applyAlignment="1">
      <alignment horizontal="center" vertical="center" wrapText="1"/>
    </xf>
    <xf numFmtId="3" fontId="30" fillId="9" borderId="16" xfId="5" applyNumberFormat="1" applyFont="1" applyFill="1" applyBorder="1" applyAlignment="1">
      <alignment vertical="center" wrapText="1"/>
    </xf>
    <xf numFmtId="3" fontId="30" fillId="0" borderId="16" xfId="5" applyNumberFormat="1" applyFont="1" applyBorder="1" applyAlignment="1">
      <alignment vertical="center" wrapText="1"/>
    </xf>
    <xf numFmtId="0" fontId="33" fillId="0" borderId="16" xfId="5" applyFont="1" applyBorder="1" applyAlignment="1">
      <alignment horizontal="center" vertical="center" wrapText="1"/>
    </xf>
    <xf numFmtId="3" fontId="30" fillId="0" borderId="16" xfId="0" applyNumberFormat="1" applyFont="1" applyBorder="1" applyAlignment="1">
      <alignment horizontal="center" vertical="center" wrapText="1"/>
    </xf>
    <xf numFmtId="3" fontId="30" fillId="0" borderId="16" xfId="5" applyNumberFormat="1" applyFont="1" applyBorder="1" applyAlignment="1">
      <alignment horizontal="center" vertical="center" wrapText="1"/>
    </xf>
    <xf numFmtId="167" fontId="30" fillId="0" borderId="16" xfId="3" applyNumberFormat="1" applyFont="1" applyFill="1" applyBorder="1" applyAlignment="1">
      <alignment horizontal="center" vertical="center" wrapText="1"/>
    </xf>
    <xf numFmtId="168" fontId="42" fillId="60" borderId="16" xfId="0" applyNumberFormat="1" applyFont="1" applyFill="1" applyBorder="1" applyAlignment="1">
      <alignment horizontal="right" vertical="center"/>
    </xf>
    <xf numFmtId="10" fontId="30" fillId="0" borderId="16" xfId="3" applyNumberFormat="1" applyFont="1" applyFill="1" applyBorder="1" applyAlignment="1">
      <alignment horizontal="right" vertical="center" wrapText="1"/>
    </xf>
    <xf numFmtId="0" fontId="30" fillId="0" borderId="16" xfId="3" applyNumberFormat="1" applyFont="1" applyFill="1" applyBorder="1" applyAlignment="1">
      <alignment horizontal="center" vertical="center" wrapText="1"/>
    </xf>
    <xf numFmtId="168" fontId="40" fillId="60" borderId="16" xfId="0" applyNumberFormat="1" applyFont="1" applyFill="1" applyBorder="1" applyAlignment="1">
      <alignment horizontal="right" vertical="center"/>
    </xf>
    <xf numFmtId="168" fontId="40" fillId="0" borderId="16" xfId="0" applyNumberFormat="1" applyFont="1" applyBorder="1" applyAlignment="1">
      <alignment horizontal="right" vertical="center"/>
    </xf>
    <xf numFmtId="10" fontId="40" fillId="0" borderId="16" xfId="3" applyNumberFormat="1" applyFont="1" applyFill="1" applyBorder="1" applyAlignment="1">
      <alignment vertical="center" wrapText="1"/>
    </xf>
    <xf numFmtId="168" fontId="87" fillId="0" borderId="16" xfId="0" applyNumberFormat="1" applyFont="1" applyBorder="1" applyAlignment="1">
      <alignment horizontal="right" vertical="center"/>
    </xf>
    <xf numFmtId="3" fontId="30" fillId="0" borderId="76" xfId="0" applyNumberFormat="1" applyFont="1" applyBorder="1" applyAlignment="1">
      <alignment vertical="center" wrapText="1"/>
    </xf>
    <xf numFmtId="9" fontId="40" fillId="0" borderId="16" xfId="3" applyFont="1" applyFill="1" applyBorder="1" applyAlignment="1">
      <alignment horizontal="center" vertical="center" wrapText="1"/>
    </xf>
    <xf numFmtId="9" fontId="33" fillId="0" borderId="76" xfId="0" applyNumberFormat="1" applyFont="1" applyBorder="1" applyAlignment="1">
      <alignment horizontal="center" vertical="center" wrapText="1"/>
    </xf>
    <xf numFmtId="3" fontId="41" fillId="0" borderId="16" xfId="5" applyNumberFormat="1" applyFont="1" applyBorder="1" applyAlignment="1">
      <alignment vertical="center" wrapText="1"/>
    </xf>
    <xf numFmtId="3" fontId="33" fillId="0" borderId="16" xfId="5" applyNumberFormat="1" applyFont="1" applyBorder="1" applyAlignment="1">
      <alignment vertical="center" wrapText="1"/>
    </xf>
    <xf numFmtId="0" fontId="32" fillId="60" borderId="16" xfId="0" applyFont="1" applyFill="1" applyBorder="1" applyAlignment="1">
      <alignment horizontal="center" vertical="center" wrapText="1"/>
    </xf>
    <xf numFmtId="10" fontId="30" fillId="0" borderId="16" xfId="3" applyNumberFormat="1" applyFont="1" applyFill="1" applyBorder="1" applyAlignment="1">
      <alignment horizontal="center" vertical="center" wrapText="1"/>
    </xf>
    <xf numFmtId="3" fontId="40" fillId="0" borderId="16" xfId="3" applyNumberFormat="1" applyFont="1" applyFill="1" applyBorder="1" applyAlignment="1">
      <alignment horizontal="center" vertical="center" wrapText="1"/>
    </xf>
    <xf numFmtId="9" fontId="30" fillId="9" borderId="16" xfId="3" applyFont="1" applyFill="1" applyBorder="1" applyAlignment="1">
      <alignment horizontal="center" vertical="center" wrapText="1"/>
    </xf>
    <xf numFmtId="14" fontId="30" fillId="0" borderId="16" xfId="5" applyNumberFormat="1" applyFont="1" applyBorder="1" applyAlignment="1">
      <alignment vertical="center" wrapText="1"/>
    </xf>
    <xf numFmtId="0" fontId="42" fillId="0" borderId="16" xfId="0" applyFont="1" applyBorder="1" applyAlignment="1">
      <alignment horizontal="center" vertical="center"/>
    </xf>
    <xf numFmtId="0" fontId="42" fillId="0" borderId="16" xfId="0" applyFont="1" applyBorder="1" applyAlignment="1">
      <alignment horizontal="center" vertical="center" wrapText="1"/>
    </xf>
    <xf numFmtId="9" fontId="30" fillId="0" borderId="16" xfId="3" applyFont="1" applyBorder="1" applyAlignment="1">
      <alignment horizontal="center" vertical="center" wrapText="1"/>
    </xf>
    <xf numFmtId="10" fontId="30" fillId="10" borderId="16" xfId="3" applyNumberFormat="1" applyFont="1" applyFill="1" applyBorder="1" applyAlignment="1">
      <alignment horizontal="center" vertical="center" wrapText="1"/>
    </xf>
    <xf numFmtId="0" fontId="86" fillId="60" borderId="16" xfId="0" applyFont="1" applyFill="1" applyBorder="1" applyAlignment="1">
      <alignment horizontal="center" vertical="center" wrapText="1"/>
    </xf>
    <xf numFmtId="0" fontId="86" fillId="61" borderId="16" xfId="0" applyFont="1" applyFill="1" applyBorder="1" applyAlignment="1">
      <alignment horizontal="center" vertical="center" wrapText="1"/>
    </xf>
    <xf numFmtId="164" fontId="30" fillId="0" borderId="16" xfId="5" applyNumberFormat="1" applyFont="1" applyBorder="1" applyAlignment="1">
      <alignment horizontal="center" vertical="center" wrapText="1"/>
    </xf>
    <xf numFmtId="2" fontId="30" fillId="0" borderId="16" xfId="5" applyNumberFormat="1" applyFont="1" applyBorder="1" applyAlignment="1">
      <alignment horizontal="center" vertical="center" wrapText="1"/>
    </xf>
    <xf numFmtId="2" fontId="30" fillId="0" borderId="16" xfId="5" applyNumberFormat="1" applyFont="1" applyBorder="1" applyAlignment="1">
      <alignment vertical="center" wrapText="1"/>
    </xf>
    <xf numFmtId="0" fontId="33" fillId="9" borderId="16" xfId="5" applyFont="1" applyFill="1" applyBorder="1" applyAlignment="1">
      <alignment horizontal="center" vertical="center" wrapText="1"/>
    </xf>
    <xf numFmtId="0" fontId="30" fillId="9" borderId="16" xfId="5" applyFont="1" applyFill="1" applyBorder="1" applyAlignment="1">
      <alignment horizontal="center" vertical="center" wrapText="1"/>
    </xf>
    <xf numFmtId="164" fontId="30" fillId="9" borderId="16" xfId="5" applyNumberFormat="1" applyFont="1" applyFill="1" applyBorder="1" applyAlignment="1">
      <alignment horizontal="center" vertical="center" wrapText="1"/>
    </xf>
    <xf numFmtId="168" fontId="42" fillId="0" borderId="16" xfId="0" applyNumberFormat="1" applyFont="1" applyBorder="1" applyAlignment="1">
      <alignment horizontal="right" vertical="center"/>
    </xf>
    <xf numFmtId="3" fontId="30" fillId="62" borderId="16" xfId="5" applyNumberFormat="1" applyFont="1" applyFill="1" applyBorder="1" applyAlignment="1">
      <alignment vertical="center" wrapText="1"/>
    </xf>
    <xf numFmtId="3" fontId="40" fillId="46" borderId="16" xfId="5" applyNumberFormat="1" applyFont="1" applyFill="1" applyBorder="1" applyAlignment="1">
      <alignment vertical="center" wrapText="1"/>
    </xf>
    <xf numFmtId="10" fontId="40" fillId="46" borderId="16" xfId="3" applyNumberFormat="1" applyFont="1" applyFill="1" applyBorder="1" applyAlignment="1">
      <alignment vertical="center" wrapText="1"/>
    </xf>
    <xf numFmtId="9" fontId="40" fillId="46" borderId="16" xfId="3" applyFont="1" applyFill="1" applyBorder="1" applyAlignment="1">
      <alignment horizontal="center" vertical="center" wrapText="1"/>
    </xf>
    <xf numFmtId="3" fontId="40" fillId="46" borderId="16" xfId="3" applyNumberFormat="1" applyFont="1" applyFill="1" applyBorder="1" applyAlignment="1">
      <alignment horizontal="center" vertical="center" wrapText="1"/>
    </xf>
    <xf numFmtId="3" fontId="41" fillId="46" borderId="16" xfId="5" applyNumberFormat="1" applyFont="1" applyFill="1" applyBorder="1" applyAlignment="1">
      <alignment vertical="center" wrapText="1"/>
    </xf>
    <xf numFmtId="0" fontId="86" fillId="63" borderId="16" xfId="0" applyFont="1" applyFill="1" applyBorder="1" applyAlignment="1">
      <alignment vertical="center" wrapText="1"/>
    </xf>
    <xf numFmtId="0" fontId="87" fillId="0" borderId="16" xfId="0" applyFont="1" applyBorder="1" applyAlignment="1">
      <alignment horizontal="center" vertical="center" wrapText="1"/>
    </xf>
    <xf numFmtId="9" fontId="87" fillId="9" borderId="16" xfId="0" applyNumberFormat="1" applyFont="1" applyFill="1" applyBorder="1" applyAlignment="1">
      <alignment horizontal="center" vertical="center" wrapText="1"/>
    </xf>
    <xf numFmtId="168" fontId="42" fillId="63" borderId="16" xfId="0" applyNumberFormat="1" applyFont="1" applyFill="1" applyBorder="1" applyAlignment="1">
      <alignment horizontal="right" vertical="center"/>
    </xf>
    <xf numFmtId="165" fontId="33" fillId="0" borderId="16" xfId="4" applyNumberFormat="1" applyFont="1" applyFill="1" applyBorder="1" applyAlignment="1">
      <alignment vertical="center" wrapText="1"/>
    </xf>
    <xf numFmtId="10" fontId="30" fillId="0" borderId="16" xfId="3" applyNumberFormat="1" applyFont="1" applyFill="1" applyBorder="1" applyAlignment="1">
      <alignment vertical="center" wrapText="1"/>
    </xf>
    <xf numFmtId="3" fontId="87" fillId="0" borderId="16" xfId="0" applyNumberFormat="1" applyFont="1" applyBorder="1" applyAlignment="1">
      <alignment horizontal="right" vertical="center"/>
    </xf>
    <xf numFmtId="3" fontId="30" fillId="0" borderId="16" xfId="3" applyNumberFormat="1" applyFont="1" applyFill="1" applyBorder="1" applyAlignment="1">
      <alignment horizontal="center" vertical="center" wrapText="1"/>
    </xf>
    <xf numFmtId="0" fontId="87" fillId="63" borderId="16" xfId="0" applyFont="1" applyFill="1" applyBorder="1" applyAlignment="1">
      <alignment horizontal="center" vertical="center" wrapText="1"/>
    </xf>
    <xf numFmtId="167" fontId="30" fillId="64" borderId="16" xfId="3" applyNumberFormat="1" applyFont="1" applyFill="1" applyBorder="1" applyAlignment="1">
      <alignment horizontal="center" vertical="center" wrapText="1"/>
    </xf>
    <xf numFmtId="4" fontId="33" fillId="46" borderId="16" xfId="5" applyNumberFormat="1" applyFont="1" applyFill="1" applyBorder="1" applyAlignment="1">
      <alignment vertical="center" wrapText="1"/>
    </xf>
    <xf numFmtId="3" fontId="30" fillId="46" borderId="16" xfId="3" applyNumberFormat="1" applyFont="1" applyFill="1" applyBorder="1" applyAlignment="1">
      <alignment horizontal="center" vertical="center" wrapText="1"/>
    </xf>
    <xf numFmtId="171" fontId="42" fillId="60" borderId="16" xfId="0" applyNumberFormat="1" applyFont="1" applyFill="1" applyBorder="1" applyAlignment="1">
      <alignment horizontal="right" vertical="center"/>
    </xf>
    <xf numFmtId="0" fontId="87" fillId="60" borderId="16" xfId="0" applyFont="1" applyFill="1" applyBorder="1" applyAlignment="1">
      <alignment horizontal="center" vertical="center" wrapText="1"/>
    </xf>
    <xf numFmtId="1" fontId="33" fillId="58" borderId="16" xfId="5" applyNumberFormat="1" applyFont="1" applyFill="1" applyBorder="1" applyAlignment="1">
      <alignment vertical="center" wrapText="1"/>
    </xf>
    <xf numFmtId="3" fontId="41" fillId="58" borderId="16" xfId="5" applyNumberFormat="1" applyFont="1" applyFill="1" applyBorder="1" applyAlignment="1">
      <alignment vertical="center" wrapText="1"/>
    </xf>
    <xf numFmtId="3" fontId="33" fillId="58" borderId="16" xfId="3" applyNumberFormat="1" applyFont="1" applyFill="1" applyBorder="1" applyAlignment="1">
      <alignment horizontal="center" vertical="center" wrapText="1"/>
    </xf>
    <xf numFmtId="0" fontId="86" fillId="63" borderId="16" xfId="0" applyFont="1" applyFill="1" applyBorder="1" applyAlignment="1">
      <alignment horizontal="center" vertical="center" wrapText="1"/>
    </xf>
    <xf numFmtId="0" fontId="32" fillId="63" borderId="16" xfId="0" applyFont="1" applyFill="1" applyBorder="1" applyAlignment="1">
      <alignment horizontal="center" vertical="center" wrapText="1"/>
    </xf>
    <xf numFmtId="0" fontId="40" fillId="9" borderId="16" xfId="0" applyFont="1" applyFill="1" applyBorder="1" applyAlignment="1">
      <alignment horizontal="center" vertical="center" wrapText="1"/>
    </xf>
    <xf numFmtId="168" fontId="89" fillId="0" borderId="16" xfId="0" applyNumberFormat="1" applyFont="1" applyBorder="1" applyAlignment="1">
      <alignment vertical="center"/>
    </xf>
    <xf numFmtId="1" fontId="30" fillId="46" borderId="16" xfId="5" applyNumberFormat="1" applyFont="1" applyFill="1" applyBorder="1" applyAlignment="1">
      <alignment vertical="center" wrapText="1"/>
    </xf>
    <xf numFmtId="3" fontId="30" fillId="64" borderId="16" xfId="5" applyNumberFormat="1" applyFont="1" applyFill="1" applyBorder="1" applyAlignment="1">
      <alignment vertical="center" wrapText="1"/>
    </xf>
    <xf numFmtId="9" fontId="30" fillId="64" borderId="16" xfId="3" applyFont="1" applyFill="1" applyBorder="1" applyAlignment="1">
      <alignment horizontal="center" vertical="center" wrapText="1"/>
    </xf>
    <xf numFmtId="3" fontId="30" fillId="64" borderId="16" xfId="3" applyNumberFormat="1" applyFont="1" applyFill="1" applyBorder="1" applyAlignment="1">
      <alignment horizontal="center" vertical="center" wrapText="1"/>
    </xf>
    <xf numFmtId="0" fontId="86" fillId="65" borderId="16" xfId="0" applyFont="1" applyFill="1" applyBorder="1" applyAlignment="1">
      <alignment vertical="center" wrapText="1"/>
    </xf>
    <xf numFmtId="0" fontId="32" fillId="65" borderId="16" xfId="0" applyFont="1" applyFill="1" applyBorder="1" applyAlignment="1">
      <alignment horizontal="center" vertical="center" wrapText="1"/>
    </xf>
    <xf numFmtId="167" fontId="30" fillId="9" borderId="16" xfId="3" applyNumberFormat="1" applyFont="1" applyFill="1" applyBorder="1" applyAlignment="1">
      <alignment horizontal="center" vertical="center" wrapText="1"/>
    </xf>
    <xf numFmtId="9" fontId="86" fillId="65" borderId="16" xfId="0" applyNumberFormat="1" applyFont="1" applyFill="1" applyBorder="1" applyAlignment="1">
      <alignment horizontal="center" vertical="center" wrapText="1"/>
    </xf>
    <xf numFmtId="9" fontId="30" fillId="10" borderId="16" xfId="3" applyFont="1" applyFill="1" applyBorder="1" applyAlignment="1">
      <alignment horizontal="center" vertical="center" wrapText="1"/>
    </xf>
    <xf numFmtId="168" fontId="42" fillId="65" borderId="16" xfId="0" applyNumberFormat="1" applyFont="1" applyFill="1" applyBorder="1" applyAlignment="1">
      <alignment horizontal="right" vertical="center"/>
    </xf>
    <xf numFmtId="10" fontId="30" fillId="9" borderId="16" xfId="3" applyNumberFormat="1" applyFont="1" applyFill="1" applyBorder="1" applyAlignment="1">
      <alignment horizontal="right" vertical="center" wrapText="1"/>
    </xf>
    <xf numFmtId="10" fontId="30" fillId="9" borderId="16" xfId="3" applyNumberFormat="1" applyFont="1" applyFill="1" applyBorder="1" applyAlignment="1">
      <alignment horizontal="center" vertical="center" wrapText="1"/>
    </xf>
    <xf numFmtId="10" fontId="30" fillId="9" borderId="16" xfId="3" applyNumberFormat="1" applyFont="1" applyFill="1" applyBorder="1" applyAlignment="1">
      <alignment vertical="center" wrapText="1"/>
    </xf>
    <xf numFmtId="168" fontId="87" fillId="9" borderId="16" xfId="0" applyNumberFormat="1" applyFont="1" applyFill="1" applyBorder="1" applyAlignment="1">
      <alignment horizontal="right" vertical="center"/>
    </xf>
    <xf numFmtId="3" fontId="30" fillId="9" borderId="16" xfId="3" applyNumberFormat="1" applyFont="1" applyFill="1" applyBorder="1" applyAlignment="1">
      <alignment horizontal="center" vertical="center" wrapText="1"/>
    </xf>
    <xf numFmtId="3" fontId="33" fillId="9" borderId="16" xfId="5" applyNumberFormat="1" applyFont="1" applyFill="1" applyBorder="1" applyAlignment="1">
      <alignment vertical="center" wrapText="1"/>
    </xf>
    <xf numFmtId="0" fontId="86" fillId="66" borderId="16" xfId="0" applyFont="1" applyFill="1" applyBorder="1" applyAlignment="1">
      <alignment horizontal="center" vertical="center" wrapText="1"/>
    </xf>
    <xf numFmtId="0" fontId="86" fillId="65" borderId="16" xfId="0" applyFont="1" applyFill="1" applyBorder="1" applyAlignment="1">
      <alignment horizontal="center" vertical="center"/>
    </xf>
    <xf numFmtId="0" fontId="86" fillId="0" borderId="16" xfId="0" applyFont="1" applyBorder="1" applyAlignment="1">
      <alignment horizontal="center" vertical="center"/>
    </xf>
    <xf numFmtId="0" fontId="87" fillId="66" borderId="16" xfId="0" applyFont="1" applyFill="1" applyBorder="1" applyAlignment="1">
      <alignment horizontal="center" vertical="center" wrapText="1"/>
    </xf>
    <xf numFmtId="3" fontId="30" fillId="9" borderId="16" xfId="5" applyNumberFormat="1" applyFont="1" applyFill="1" applyBorder="1" applyAlignment="1">
      <alignment horizontal="center" vertical="center" wrapText="1"/>
    </xf>
    <xf numFmtId="9" fontId="30" fillId="9" borderId="16" xfId="5" applyNumberFormat="1" applyFont="1" applyFill="1" applyBorder="1" applyAlignment="1">
      <alignment horizontal="center" vertical="center" wrapText="1"/>
    </xf>
    <xf numFmtId="168" fontId="42" fillId="9" borderId="16" xfId="0" applyNumberFormat="1" applyFont="1" applyFill="1" applyBorder="1" applyAlignment="1">
      <alignment horizontal="right" vertical="center"/>
    </xf>
    <xf numFmtId="0" fontId="87" fillId="65" borderId="16" xfId="0" applyFont="1" applyFill="1" applyBorder="1" applyAlignment="1">
      <alignment horizontal="center" vertical="center" wrapText="1"/>
    </xf>
    <xf numFmtId="3" fontId="30" fillId="64" borderId="16" xfId="5" applyNumberFormat="1" applyFont="1" applyFill="1" applyBorder="1" applyAlignment="1">
      <alignment horizontal="center" vertical="center" wrapText="1"/>
    </xf>
    <xf numFmtId="10" fontId="30" fillId="64" borderId="16" xfId="3" applyNumberFormat="1" applyFont="1" applyFill="1" applyBorder="1" applyAlignment="1">
      <alignment horizontal="right" vertical="center" wrapText="1"/>
    </xf>
    <xf numFmtId="10" fontId="33" fillId="64" borderId="16" xfId="3" applyNumberFormat="1" applyFont="1" applyFill="1" applyBorder="1" applyAlignment="1">
      <alignment horizontal="center" vertical="center" wrapText="1"/>
    </xf>
    <xf numFmtId="3" fontId="33" fillId="64" borderId="16" xfId="5" applyNumberFormat="1" applyFont="1" applyFill="1" applyBorder="1" applyAlignment="1">
      <alignment vertical="center" wrapText="1"/>
    </xf>
    <xf numFmtId="10" fontId="30" fillId="64" borderId="16" xfId="3" applyNumberFormat="1" applyFont="1" applyFill="1" applyBorder="1" applyAlignment="1">
      <alignment vertical="center" wrapText="1"/>
    </xf>
    <xf numFmtId="3" fontId="40" fillId="64" borderId="16" xfId="5" applyNumberFormat="1" applyFont="1" applyFill="1" applyBorder="1" applyAlignment="1">
      <alignment vertical="center" wrapText="1"/>
    </xf>
    <xf numFmtId="10" fontId="30" fillId="64" borderId="16" xfId="3" applyNumberFormat="1" applyFont="1" applyFill="1" applyBorder="1" applyAlignment="1">
      <alignment horizontal="center" vertical="center" wrapText="1"/>
    </xf>
    <xf numFmtId="0" fontId="40" fillId="0" borderId="16" xfId="0" applyFont="1" applyBorder="1" applyAlignment="1">
      <alignment horizontal="center" vertical="center"/>
    </xf>
    <xf numFmtId="9" fontId="86" fillId="63" borderId="16" xfId="0" applyNumberFormat="1" applyFont="1" applyFill="1" applyBorder="1" applyAlignment="1">
      <alignment horizontal="center" vertical="center" wrapText="1"/>
    </xf>
    <xf numFmtId="168" fontId="89" fillId="9" borderId="16" xfId="0" applyNumberFormat="1" applyFont="1" applyFill="1" applyBorder="1" applyAlignment="1">
      <alignment vertical="center"/>
    </xf>
    <xf numFmtId="168" fontId="42" fillId="67" borderId="16" xfId="0" applyNumberFormat="1" applyFont="1" applyFill="1" applyBorder="1" applyAlignment="1">
      <alignment vertical="center"/>
    </xf>
    <xf numFmtId="168" fontId="90" fillId="9" borderId="16" xfId="0" applyNumberFormat="1" applyFont="1" applyFill="1" applyBorder="1" applyAlignment="1">
      <alignment horizontal="right" vertical="center"/>
    </xf>
    <xf numFmtId="9" fontId="30" fillId="0" borderId="16" xfId="5" applyNumberFormat="1" applyFont="1" applyBorder="1" applyAlignment="1">
      <alignment horizontal="center" vertical="center" wrapText="1"/>
    </xf>
    <xf numFmtId="167" fontId="33" fillId="68" borderId="16" xfId="3" applyNumberFormat="1" applyFont="1" applyFill="1" applyBorder="1" applyAlignment="1">
      <alignment horizontal="center" vertical="center" wrapText="1"/>
    </xf>
    <xf numFmtId="172" fontId="33" fillId="58" borderId="16" xfId="5" applyNumberFormat="1" applyFont="1" applyFill="1" applyBorder="1" applyAlignment="1">
      <alignment vertical="center" wrapText="1"/>
    </xf>
    <xf numFmtId="172" fontId="30" fillId="64" borderId="16" xfId="5" applyNumberFormat="1" applyFont="1" applyFill="1" applyBorder="1" applyAlignment="1">
      <alignment vertical="center" wrapText="1"/>
    </xf>
    <xf numFmtId="0" fontId="86" fillId="60" borderId="16" xfId="0" applyFont="1" applyFill="1" applyBorder="1" applyAlignment="1">
      <alignment horizontal="center" vertical="center"/>
    </xf>
    <xf numFmtId="168" fontId="42" fillId="67" borderId="16" xfId="0" applyNumberFormat="1" applyFont="1" applyFill="1" applyBorder="1" applyAlignment="1">
      <alignment horizontal="right" vertical="center"/>
    </xf>
    <xf numFmtId="173" fontId="42" fillId="60" borderId="16" xfId="0" applyNumberFormat="1" applyFont="1" applyFill="1" applyBorder="1" applyAlignment="1">
      <alignment horizontal="right" vertical="center"/>
    </xf>
    <xf numFmtId="43" fontId="33" fillId="56" borderId="16" xfId="4" applyFont="1" applyFill="1" applyBorder="1" applyAlignment="1">
      <alignment horizontal="center" vertical="center" wrapText="1"/>
    </xf>
    <xf numFmtId="3" fontId="33" fillId="56" borderId="16" xfId="3" applyNumberFormat="1" applyFont="1" applyFill="1" applyBorder="1" applyAlignment="1">
      <alignment horizontal="center" vertical="center" wrapText="1"/>
    </xf>
    <xf numFmtId="43" fontId="33" fillId="56" borderId="16" xfId="4" applyFont="1" applyFill="1" applyBorder="1" applyAlignment="1">
      <alignment vertical="center" wrapText="1"/>
    </xf>
    <xf numFmtId="0" fontId="33" fillId="56" borderId="16" xfId="5" applyFont="1" applyFill="1" applyBorder="1" applyAlignment="1">
      <alignment vertical="center" wrapText="1"/>
    </xf>
    <xf numFmtId="9" fontId="33" fillId="46" borderId="16" xfId="3" applyFont="1" applyFill="1" applyBorder="1" applyAlignment="1">
      <alignment horizontal="center" vertical="center" wrapText="1"/>
    </xf>
    <xf numFmtId="3" fontId="33" fillId="46" borderId="16" xfId="3" applyNumberFormat="1" applyFont="1" applyFill="1" applyBorder="1" applyAlignment="1">
      <alignment horizontal="center" vertical="center" wrapText="1"/>
    </xf>
    <xf numFmtId="0" fontId="86" fillId="29" borderId="16" xfId="0" applyFont="1" applyFill="1" applyBorder="1" applyAlignment="1">
      <alignment vertical="center" wrapText="1"/>
    </xf>
    <xf numFmtId="0" fontId="32" fillId="29" borderId="16" xfId="0" applyFont="1" applyFill="1" applyBorder="1" applyAlignment="1">
      <alignment horizontal="center" vertical="center" wrapText="1"/>
    </xf>
    <xf numFmtId="0" fontId="86" fillId="29" borderId="16" xfId="0" applyFont="1" applyFill="1" applyBorder="1" applyAlignment="1">
      <alignment horizontal="center" vertical="center"/>
    </xf>
    <xf numFmtId="0" fontId="86" fillId="69" borderId="16" xfId="0" applyFont="1" applyFill="1" applyBorder="1" applyAlignment="1">
      <alignment horizontal="center" vertical="center"/>
    </xf>
    <xf numFmtId="0" fontId="91" fillId="0" borderId="16" xfId="0" applyFont="1" applyBorder="1" applyAlignment="1">
      <alignment horizontal="justify" vertical="center" wrapText="1"/>
    </xf>
    <xf numFmtId="9" fontId="86" fillId="29" borderId="16" xfId="0" applyNumberFormat="1" applyFont="1" applyFill="1" applyBorder="1" applyAlignment="1">
      <alignment horizontal="center" vertical="center" wrapText="1"/>
    </xf>
    <xf numFmtId="168" fontId="42" fillId="29" borderId="16" xfId="0" applyNumberFormat="1" applyFont="1" applyFill="1" applyBorder="1" applyAlignment="1">
      <alignment horizontal="right" vertical="center"/>
    </xf>
    <xf numFmtId="168" fontId="32" fillId="9" borderId="16" xfId="0" applyNumberFormat="1" applyFont="1" applyFill="1" applyBorder="1" applyAlignment="1">
      <alignment horizontal="right" vertical="center"/>
    </xf>
    <xf numFmtId="0" fontId="87" fillId="29" borderId="16" xfId="0" applyFont="1" applyFill="1" applyBorder="1" applyAlignment="1">
      <alignment horizontal="center" vertical="center" wrapText="1"/>
    </xf>
    <xf numFmtId="0" fontId="86" fillId="29" borderId="16" xfId="0" applyFont="1" applyFill="1" applyBorder="1" applyAlignment="1">
      <alignment horizontal="center" vertical="center" wrapText="1"/>
    </xf>
    <xf numFmtId="0" fontId="86" fillId="9" borderId="16" xfId="0" applyFont="1" applyFill="1" applyBorder="1" applyAlignment="1">
      <alignment horizontal="center" vertical="center"/>
    </xf>
    <xf numFmtId="2" fontId="30" fillId="9" borderId="16" xfId="5" applyNumberFormat="1" applyFont="1" applyFill="1" applyBorder="1" applyAlignment="1">
      <alignment horizontal="center" vertical="center" wrapText="1"/>
    </xf>
    <xf numFmtId="168" fontId="92" fillId="9" borderId="16" xfId="0" applyNumberFormat="1" applyFont="1" applyFill="1" applyBorder="1" applyAlignment="1">
      <alignment vertical="center"/>
    </xf>
    <xf numFmtId="0" fontId="86" fillId="70" borderId="16" xfId="0" applyFont="1" applyFill="1" applyBorder="1" applyAlignment="1">
      <alignment vertical="center" wrapText="1"/>
    </xf>
    <xf numFmtId="0" fontId="86" fillId="70" borderId="16" xfId="0" applyFont="1" applyFill="1" applyBorder="1" applyAlignment="1">
      <alignment horizontal="center" vertical="center" wrapText="1"/>
    </xf>
    <xf numFmtId="9" fontId="86" fillId="70" borderId="16" xfId="0" applyNumberFormat="1" applyFont="1" applyFill="1" applyBorder="1" applyAlignment="1">
      <alignment horizontal="center" vertical="center" wrapText="1"/>
    </xf>
    <xf numFmtId="168" fontId="40" fillId="70" borderId="16" xfId="0" applyNumberFormat="1" applyFont="1" applyFill="1" applyBorder="1" applyAlignment="1">
      <alignment horizontal="right" vertical="center"/>
    </xf>
    <xf numFmtId="0" fontId="87" fillId="70" borderId="16" xfId="0" applyFont="1" applyFill="1" applyBorder="1" applyAlignment="1">
      <alignment horizontal="center" vertical="center" wrapText="1"/>
    </xf>
    <xf numFmtId="168" fontId="42" fillId="70" borderId="16" xfId="0" applyNumberFormat="1" applyFont="1" applyFill="1" applyBorder="1" applyAlignment="1">
      <alignment horizontal="right" vertical="center"/>
    </xf>
    <xf numFmtId="10" fontId="30" fillId="0" borderId="16" xfId="3" applyNumberFormat="1" applyFont="1" applyBorder="1" applyAlignment="1">
      <alignment horizontal="center" vertical="center" wrapText="1"/>
    </xf>
    <xf numFmtId="168" fontId="32" fillId="0" borderId="16" xfId="0" applyNumberFormat="1" applyFont="1" applyBorder="1" applyAlignment="1">
      <alignment horizontal="right" vertical="center"/>
    </xf>
    <xf numFmtId="0" fontId="91" fillId="0" borderId="16" xfId="0" applyFont="1" applyBorder="1" applyAlignment="1">
      <alignment horizontal="justify" vertical="center"/>
    </xf>
    <xf numFmtId="10" fontId="33" fillId="68" borderId="16" xfId="3" applyNumberFormat="1" applyFont="1" applyFill="1" applyBorder="1" applyAlignment="1">
      <alignment horizontal="center" vertical="center" wrapText="1"/>
    </xf>
    <xf numFmtId="9" fontId="33" fillId="68" borderId="16" xfId="3" applyFont="1" applyFill="1" applyBorder="1" applyAlignment="1">
      <alignment horizontal="center" vertical="center" wrapText="1"/>
    </xf>
    <xf numFmtId="3" fontId="33" fillId="68" borderId="16" xfId="3" applyNumberFormat="1" applyFont="1" applyFill="1" applyBorder="1" applyAlignment="1">
      <alignment horizontal="center" vertical="center" wrapText="1"/>
    </xf>
    <xf numFmtId="0" fontId="86" fillId="0" borderId="16" xfId="0" applyFont="1" applyBorder="1" applyAlignment="1">
      <alignment vertical="center" wrapText="1"/>
    </xf>
    <xf numFmtId="0" fontId="40" fillId="71" borderId="16" xfId="0" applyFont="1" applyFill="1" applyBorder="1" applyAlignment="1">
      <alignment horizontal="center" vertical="center" wrapText="1"/>
    </xf>
    <xf numFmtId="0" fontId="86" fillId="72" borderId="16" xfId="0" applyFont="1" applyFill="1" applyBorder="1" applyAlignment="1">
      <alignment horizontal="center" vertical="center"/>
    </xf>
    <xf numFmtId="9" fontId="40" fillId="9" borderId="16" xfId="0" applyNumberFormat="1" applyFont="1" applyFill="1" applyBorder="1" applyAlignment="1">
      <alignment horizontal="center" vertical="center"/>
    </xf>
    <xf numFmtId="9" fontId="40" fillId="10" borderId="16" xfId="0" applyNumberFormat="1" applyFont="1" applyFill="1" applyBorder="1" applyAlignment="1">
      <alignment horizontal="center" vertical="center"/>
    </xf>
    <xf numFmtId="168" fontId="40" fillId="72" borderId="16" xfId="0" applyNumberFormat="1" applyFont="1" applyFill="1" applyBorder="1" applyAlignment="1">
      <alignment horizontal="right" vertical="center"/>
    </xf>
    <xf numFmtId="0" fontId="42" fillId="72" borderId="16" xfId="0" applyFont="1" applyFill="1" applyBorder="1" applyAlignment="1">
      <alignment horizontal="right" vertical="center"/>
    </xf>
    <xf numFmtId="43" fontId="42" fillId="72" borderId="16" xfId="4" applyFont="1" applyFill="1" applyBorder="1" applyAlignment="1">
      <alignment horizontal="right" vertical="center"/>
    </xf>
    <xf numFmtId="0" fontId="86" fillId="73" borderId="16" xfId="0" applyFont="1" applyFill="1" applyBorder="1" applyAlignment="1">
      <alignment vertical="center" wrapText="1"/>
    </xf>
    <xf numFmtId="0" fontId="40" fillId="74" borderId="16" xfId="0" applyFont="1" applyFill="1" applyBorder="1" applyAlignment="1">
      <alignment horizontal="center" vertical="center" wrapText="1"/>
    </xf>
    <xf numFmtId="9" fontId="40" fillId="0" borderId="16" xfId="0" applyNumberFormat="1" applyFont="1" applyBorder="1" applyAlignment="1">
      <alignment horizontal="center" vertical="center"/>
    </xf>
    <xf numFmtId="0" fontId="87" fillId="73" borderId="16" xfId="0" applyFont="1" applyFill="1" applyBorder="1" applyAlignment="1">
      <alignment horizontal="center" vertical="center" wrapText="1"/>
    </xf>
    <xf numFmtId="0" fontId="33" fillId="46" borderId="16" xfId="5" applyFont="1" applyFill="1" applyBorder="1" applyAlignment="1">
      <alignment horizontal="center" vertical="center" wrapText="1"/>
    </xf>
    <xf numFmtId="0" fontId="30" fillId="46" borderId="16" xfId="5" applyFont="1" applyFill="1" applyBorder="1" applyAlignment="1">
      <alignment horizontal="center" vertical="center" wrapText="1"/>
    </xf>
    <xf numFmtId="0" fontId="86" fillId="72" borderId="16" xfId="0" applyFont="1" applyFill="1" applyBorder="1" applyAlignment="1">
      <alignment vertical="center" wrapText="1"/>
    </xf>
    <xf numFmtId="0" fontId="40" fillId="75" borderId="16" xfId="0" applyFont="1" applyFill="1" applyBorder="1" applyAlignment="1">
      <alignment horizontal="center" vertical="center" wrapText="1"/>
    </xf>
    <xf numFmtId="0" fontId="87" fillId="72" borderId="16" xfId="0" applyFont="1" applyFill="1" applyBorder="1" applyAlignment="1">
      <alignment horizontal="center" vertical="center" wrapText="1"/>
    </xf>
    <xf numFmtId="168" fontId="61" fillId="72" borderId="16" xfId="0" applyNumberFormat="1" applyFont="1" applyFill="1" applyBorder="1" applyAlignment="1">
      <alignment horizontal="right" vertical="center"/>
    </xf>
    <xf numFmtId="3" fontId="30" fillId="58" borderId="16" xfId="5" applyNumberFormat="1" applyFont="1" applyFill="1" applyBorder="1" applyAlignment="1">
      <alignment vertical="center" wrapText="1"/>
    </xf>
    <xf numFmtId="1" fontId="30" fillId="58" borderId="16" xfId="5" applyNumberFormat="1" applyFont="1" applyFill="1" applyBorder="1" applyAlignment="1">
      <alignment horizontal="center" vertical="center" wrapText="1"/>
    </xf>
    <xf numFmtId="9" fontId="30" fillId="58" borderId="16" xfId="3" applyFont="1" applyFill="1" applyBorder="1" applyAlignment="1">
      <alignment horizontal="center" vertical="center" wrapText="1"/>
    </xf>
    <xf numFmtId="3" fontId="30" fillId="58" borderId="16" xfId="5" applyNumberFormat="1" applyFont="1" applyFill="1" applyBorder="1" applyAlignment="1">
      <alignment horizontal="center" vertical="center" wrapText="1"/>
    </xf>
    <xf numFmtId="10" fontId="30" fillId="58" borderId="16" xfId="3" applyNumberFormat="1" applyFont="1" applyFill="1" applyBorder="1" applyAlignment="1">
      <alignment vertical="center" wrapText="1"/>
    </xf>
    <xf numFmtId="0" fontId="87" fillId="9" borderId="16" xfId="0" applyFont="1" applyFill="1" applyBorder="1" applyAlignment="1">
      <alignment vertical="center" wrapText="1"/>
    </xf>
    <xf numFmtId="0" fontId="32" fillId="9" borderId="16" xfId="0" applyFont="1" applyFill="1" applyBorder="1" applyAlignment="1">
      <alignment horizontal="center" vertical="center" wrapText="1"/>
    </xf>
    <xf numFmtId="1" fontId="30" fillId="3" borderId="16" xfId="5" applyNumberFormat="1" applyFont="1" applyFill="1" applyBorder="1" applyAlignment="1">
      <alignment horizontal="center" vertical="center" wrapText="1"/>
    </xf>
    <xf numFmtId="3" fontId="30" fillId="9" borderId="16" xfId="5" applyNumberFormat="1" applyFont="1" applyFill="1" applyBorder="1" applyAlignment="1">
      <alignment vertical="top" wrapText="1"/>
    </xf>
    <xf numFmtId="168" fontId="61" fillId="29" borderId="16" xfId="0" applyNumberFormat="1" applyFont="1" applyFill="1" applyBorder="1" applyAlignment="1">
      <alignment horizontal="right" vertical="center"/>
    </xf>
    <xf numFmtId="168" fontId="93" fillId="29" borderId="16" xfId="0" applyNumberFormat="1" applyFont="1" applyFill="1" applyBorder="1" applyAlignment="1">
      <alignment horizontal="right" vertical="center"/>
    </xf>
    <xf numFmtId="168" fontId="93" fillId="9" borderId="16" xfId="0" applyNumberFormat="1" applyFont="1" applyFill="1" applyBorder="1" applyAlignment="1">
      <alignment horizontal="right" vertical="center"/>
    </xf>
    <xf numFmtId="0" fontId="40" fillId="0" borderId="16" xfId="0" applyFont="1" applyBorder="1" applyAlignment="1">
      <alignment vertical="center" wrapText="1"/>
    </xf>
    <xf numFmtId="0" fontId="87" fillId="76" borderId="16" xfId="0" applyFont="1" applyFill="1" applyBorder="1" applyAlignment="1">
      <alignment vertical="center" wrapText="1"/>
    </xf>
    <xf numFmtId="9" fontId="87" fillId="10" borderId="16" xfId="0" applyNumberFormat="1" applyFont="1" applyFill="1" applyBorder="1" applyAlignment="1">
      <alignment horizontal="center" vertical="center" wrapText="1"/>
    </xf>
    <xf numFmtId="168" fontId="92" fillId="9" borderId="16" xfId="0" applyNumberFormat="1" applyFont="1" applyFill="1" applyBorder="1" applyAlignment="1">
      <alignment horizontal="right" vertical="center"/>
    </xf>
    <xf numFmtId="3" fontId="30" fillId="56" borderId="16" xfId="5" applyNumberFormat="1" applyFont="1" applyFill="1" applyBorder="1" applyAlignment="1">
      <alignment vertical="center" wrapText="1"/>
    </xf>
    <xf numFmtId="1" fontId="30" fillId="56" borderId="16" xfId="5" applyNumberFormat="1" applyFont="1" applyFill="1" applyBorder="1" applyAlignment="1">
      <alignment horizontal="center" vertical="center" wrapText="1"/>
    </xf>
    <xf numFmtId="10" fontId="30" fillId="56" borderId="16" xfId="3" applyNumberFormat="1" applyFont="1" applyFill="1" applyBorder="1" applyAlignment="1">
      <alignment vertical="center" wrapText="1"/>
    </xf>
    <xf numFmtId="0" fontId="86" fillId="77" borderId="16" xfId="0" applyFont="1" applyFill="1" applyBorder="1" applyAlignment="1">
      <alignment vertical="center" wrapText="1"/>
    </xf>
    <xf numFmtId="0" fontId="86" fillId="77" borderId="16" xfId="0" applyFont="1" applyFill="1" applyBorder="1" applyAlignment="1">
      <alignment horizontal="center" vertical="center"/>
    </xf>
    <xf numFmtId="9" fontId="86" fillId="77" borderId="16" xfId="0" applyNumberFormat="1" applyFont="1" applyFill="1" applyBorder="1" applyAlignment="1">
      <alignment horizontal="center" vertical="center" wrapText="1"/>
    </xf>
    <xf numFmtId="168" fontId="61" fillId="77" borderId="16" xfId="0" applyNumberFormat="1" applyFont="1" applyFill="1" applyBorder="1" applyAlignment="1">
      <alignment horizontal="right" vertical="center"/>
    </xf>
    <xf numFmtId="0" fontId="87" fillId="77" borderId="16" xfId="0" applyFont="1" applyFill="1" applyBorder="1" applyAlignment="1">
      <alignment horizontal="center" vertical="center" wrapText="1"/>
    </xf>
    <xf numFmtId="1" fontId="30" fillId="76" borderId="16" xfId="5" applyNumberFormat="1" applyFont="1" applyFill="1" applyBorder="1" applyAlignment="1">
      <alignment horizontal="center" vertical="center" wrapText="1"/>
    </xf>
    <xf numFmtId="9" fontId="86" fillId="0" borderId="16" xfId="0" applyNumberFormat="1" applyFont="1" applyBorder="1" applyAlignment="1">
      <alignment horizontal="center" vertical="center" wrapText="1"/>
    </xf>
    <xf numFmtId="10" fontId="33" fillId="46" borderId="16" xfId="3" applyNumberFormat="1" applyFont="1" applyFill="1" applyBorder="1" applyAlignment="1">
      <alignment vertical="center" wrapText="1"/>
    </xf>
    <xf numFmtId="0" fontId="86" fillId="78" borderId="16" xfId="0" applyFont="1" applyFill="1" applyBorder="1" applyAlignment="1">
      <alignment vertical="center" wrapText="1"/>
    </xf>
    <xf numFmtId="0" fontId="40" fillId="71" borderId="16" xfId="0" applyFont="1" applyFill="1" applyBorder="1" applyAlignment="1">
      <alignment horizontal="center" vertical="center"/>
    </xf>
    <xf numFmtId="9" fontId="86" fillId="78" borderId="16" xfId="0" applyNumberFormat="1" applyFont="1" applyFill="1" applyBorder="1" applyAlignment="1">
      <alignment horizontal="center" vertical="center" wrapText="1"/>
    </xf>
    <xf numFmtId="168" fontId="61" fillId="78" borderId="16" xfId="0" applyNumberFormat="1" applyFont="1" applyFill="1" applyBorder="1" applyAlignment="1">
      <alignment horizontal="right" vertical="center"/>
    </xf>
    <xf numFmtId="0" fontId="87" fillId="78" borderId="16" xfId="0" applyFont="1" applyFill="1" applyBorder="1" applyAlignment="1">
      <alignment horizontal="center" vertical="center" wrapText="1"/>
    </xf>
    <xf numFmtId="0" fontId="32" fillId="78" borderId="16" xfId="0" applyFont="1" applyFill="1" applyBorder="1" applyAlignment="1">
      <alignment vertical="center" wrapText="1"/>
    </xf>
    <xf numFmtId="0" fontId="32" fillId="78" borderId="16" xfId="0" applyFont="1" applyFill="1" applyBorder="1" applyAlignment="1">
      <alignment horizontal="left" vertical="center" wrapText="1"/>
    </xf>
    <xf numFmtId="0" fontId="61" fillId="78" borderId="16" xfId="0" applyFont="1" applyFill="1" applyBorder="1" applyAlignment="1">
      <alignment horizontal="right" vertical="center"/>
    </xf>
    <xf numFmtId="0" fontId="86" fillId="79" borderId="16" xfId="0" applyFont="1" applyFill="1" applyBorder="1" applyAlignment="1">
      <alignment vertical="center" wrapText="1"/>
    </xf>
    <xf numFmtId="0" fontId="87" fillId="9" borderId="16" xfId="0" applyFont="1" applyFill="1" applyBorder="1" applyAlignment="1">
      <alignment horizontal="center" vertical="center" wrapText="1"/>
    </xf>
    <xf numFmtId="168" fontId="61" fillId="79" borderId="16" xfId="0" applyNumberFormat="1" applyFont="1" applyFill="1" applyBorder="1" applyAlignment="1">
      <alignment horizontal="right" vertical="center"/>
    </xf>
    <xf numFmtId="0" fontId="86" fillId="80" borderId="16" xfId="0" applyFont="1" applyFill="1" applyBorder="1" applyAlignment="1">
      <alignment vertical="center" wrapText="1"/>
    </xf>
    <xf numFmtId="0" fontId="40" fillId="81" borderId="16" xfId="0" applyFont="1" applyFill="1" applyBorder="1" applyAlignment="1">
      <alignment horizontal="center" vertical="center" wrapText="1"/>
    </xf>
    <xf numFmtId="9" fontId="40" fillId="81" borderId="16" xfId="0" applyNumberFormat="1" applyFont="1" applyFill="1" applyBorder="1" applyAlignment="1">
      <alignment horizontal="center" vertical="center"/>
    </xf>
    <xf numFmtId="168" fontId="61" fillId="80" borderId="16" xfId="0" applyNumberFormat="1" applyFont="1" applyFill="1" applyBorder="1" applyAlignment="1">
      <alignment horizontal="right" vertical="center"/>
    </xf>
    <xf numFmtId="0" fontId="87" fillId="80" borderId="16" xfId="0" applyFont="1" applyFill="1" applyBorder="1" applyAlignment="1">
      <alignment horizontal="center" vertical="center" wrapText="1"/>
    </xf>
    <xf numFmtId="0" fontId="40" fillId="82" borderId="16" xfId="0" applyFont="1" applyFill="1" applyBorder="1" applyAlignment="1">
      <alignment horizontal="center" vertical="center" wrapText="1"/>
    </xf>
    <xf numFmtId="168" fontId="61" fillId="0" borderId="16" xfId="0" applyNumberFormat="1" applyFont="1" applyBorder="1" applyAlignment="1">
      <alignment horizontal="right" vertical="center"/>
    </xf>
    <xf numFmtId="168" fontId="96" fillId="78" borderId="16" xfId="0" applyNumberFormat="1" applyFont="1" applyFill="1" applyBorder="1" applyAlignment="1">
      <alignment horizontal="right" vertical="center"/>
    </xf>
    <xf numFmtId="168" fontId="96" fillId="83" borderId="16" xfId="0" applyNumberFormat="1" applyFont="1" applyFill="1" applyBorder="1" applyAlignment="1">
      <alignment horizontal="right" vertical="center"/>
    </xf>
    <xf numFmtId="168" fontId="96" fillId="0" borderId="16" xfId="0" applyNumberFormat="1" applyFont="1" applyBorder="1" applyAlignment="1">
      <alignment horizontal="right" vertical="center"/>
    </xf>
    <xf numFmtId="168" fontId="96" fillId="80" borderId="16" xfId="0" applyNumberFormat="1" applyFont="1" applyFill="1" applyBorder="1" applyAlignment="1">
      <alignment horizontal="right" vertical="center"/>
    </xf>
    <xf numFmtId="0" fontId="86" fillId="80" borderId="16" xfId="0" applyFont="1" applyFill="1" applyBorder="1" applyAlignment="1">
      <alignment horizontal="left" vertical="center" wrapText="1"/>
    </xf>
    <xf numFmtId="0" fontId="86" fillId="80" borderId="16" xfId="0" applyFont="1" applyFill="1" applyBorder="1" applyAlignment="1">
      <alignment horizontal="center" vertical="center"/>
    </xf>
    <xf numFmtId="9" fontId="86" fillId="80" borderId="16" xfId="0" applyNumberFormat="1" applyFont="1" applyFill="1" applyBorder="1" applyAlignment="1">
      <alignment horizontal="center" vertical="center" wrapText="1"/>
    </xf>
    <xf numFmtId="9" fontId="86" fillId="84" borderId="16" xfId="0" applyNumberFormat="1" applyFont="1" applyFill="1" applyBorder="1" applyAlignment="1">
      <alignment horizontal="center" vertical="center" wrapText="1"/>
    </xf>
    <xf numFmtId="0" fontId="32" fillId="80" borderId="16" xfId="0" applyFont="1" applyFill="1" applyBorder="1" applyAlignment="1">
      <alignment horizontal="center" vertical="center" wrapText="1"/>
    </xf>
    <xf numFmtId="0" fontId="32" fillId="78" borderId="16" xfId="0" applyFont="1" applyFill="1" applyBorder="1" applyAlignment="1">
      <alignment horizontal="center" vertical="center" wrapText="1"/>
    </xf>
    <xf numFmtId="0" fontId="40" fillId="85" borderId="16" xfId="0" applyFont="1" applyFill="1" applyBorder="1" applyAlignment="1">
      <alignment horizontal="center" vertical="center" wrapText="1"/>
    </xf>
    <xf numFmtId="165" fontId="33" fillId="9" borderId="16" xfId="4" applyNumberFormat="1" applyFont="1" applyFill="1" applyBorder="1" applyAlignment="1">
      <alignment vertical="center" wrapText="1"/>
    </xf>
    <xf numFmtId="0" fontId="32" fillId="77" borderId="16" xfId="0" applyFont="1" applyFill="1" applyBorder="1" applyAlignment="1">
      <alignment horizontal="center" vertical="center" wrapText="1"/>
    </xf>
    <xf numFmtId="0" fontId="86" fillId="86" borderId="16" xfId="0" applyFont="1" applyFill="1" applyBorder="1" applyAlignment="1">
      <alignment vertical="center" wrapText="1"/>
    </xf>
    <xf numFmtId="0" fontId="86" fillId="86" borderId="16" xfId="0" applyFont="1" applyFill="1" applyBorder="1" applyAlignment="1">
      <alignment horizontal="center" vertical="center"/>
    </xf>
    <xf numFmtId="168" fontId="90" fillId="0" borderId="16" xfId="0" applyNumberFormat="1" applyFont="1" applyBorder="1" applyAlignment="1">
      <alignment horizontal="right" vertical="center"/>
    </xf>
    <xf numFmtId="0" fontId="32" fillId="86" borderId="16" xfId="0" applyFont="1" applyFill="1" applyBorder="1" applyAlignment="1">
      <alignment horizontal="center" vertical="center" wrapText="1"/>
    </xf>
    <xf numFmtId="9" fontId="86" fillId="86" borderId="16" xfId="0" applyNumberFormat="1" applyFont="1" applyFill="1" applyBorder="1" applyAlignment="1">
      <alignment horizontal="center" vertical="center"/>
    </xf>
    <xf numFmtId="168" fontId="61" fillId="86" borderId="16" xfId="0" applyNumberFormat="1" applyFont="1" applyFill="1" applyBorder="1" applyAlignment="1">
      <alignment horizontal="right" vertical="center"/>
    </xf>
    <xf numFmtId="0" fontId="86" fillId="78" borderId="16" xfId="0" applyFont="1" applyFill="1" applyBorder="1" applyAlignment="1">
      <alignment horizontal="center" vertical="center" wrapText="1"/>
    </xf>
    <xf numFmtId="1" fontId="30" fillId="68" borderId="16" xfId="5" applyNumberFormat="1" applyFont="1" applyFill="1" applyBorder="1" applyAlignment="1">
      <alignment horizontal="center" vertical="center" wrapText="1"/>
    </xf>
    <xf numFmtId="0" fontId="30" fillId="56" borderId="16" xfId="5" applyFont="1" applyFill="1" applyBorder="1" applyAlignment="1">
      <alignment vertical="center" wrapText="1"/>
    </xf>
    <xf numFmtId="0" fontId="30" fillId="56" borderId="16" xfId="5" applyFont="1" applyFill="1" applyBorder="1" applyAlignment="1">
      <alignment horizontal="center" vertical="center" wrapText="1"/>
    </xf>
    <xf numFmtId="3" fontId="30" fillId="56" borderId="16" xfId="5" applyNumberFormat="1" applyFont="1" applyFill="1" applyBorder="1" applyAlignment="1">
      <alignment horizontal="center" vertical="center" wrapText="1"/>
    </xf>
    <xf numFmtId="0" fontId="33" fillId="58" borderId="16" xfId="5" applyFont="1" applyFill="1" applyBorder="1" applyAlignment="1">
      <alignment vertical="center" wrapText="1"/>
    </xf>
    <xf numFmtId="0" fontId="33" fillId="58" borderId="16" xfId="5" applyFont="1" applyFill="1" applyBorder="1" applyAlignment="1">
      <alignment horizontal="center" vertical="center" wrapText="1"/>
    </xf>
    <xf numFmtId="0" fontId="30" fillId="46" borderId="16" xfId="5" applyFont="1" applyFill="1" applyBorder="1" applyAlignment="1">
      <alignment vertical="center" wrapText="1"/>
    </xf>
    <xf numFmtId="0" fontId="86" fillId="30" borderId="16" xfId="0" applyFont="1" applyFill="1" applyBorder="1" applyAlignment="1">
      <alignment vertical="center" wrapText="1"/>
    </xf>
    <xf numFmtId="0" fontId="40" fillId="87" borderId="16" xfId="0" applyFont="1" applyFill="1" applyBorder="1" applyAlignment="1">
      <alignment horizontal="center" vertical="center" wrapText="1"/>
    </xf>
    <xf numFmtId="0" fontId="40" fillId="87" borderId="16" xfId="0" applyFont="1" applyFill="1" applyBorder="1" applyAlignment="1">
      <alignment horizontal="center" vertical="center"/>
    </xf>
    <xf numFmtId="168" fontId="61" fillId="30" borderId="16" xfId="0" applyNumberFormat="1" applyFont="1" applyFill="1" applyBorder="1" applyAlignment="1">
      <alignment horizontal="right" vertical="center"/>
    </xf>
    <xf numFmtId="0" fontId="86" fillId="30" borderId="16" xfId="0" applyFont="1" applyFill="1" applyBorder="1" applyAlignment="1">
      <alignment horizontal="center" vertical="center" wrapText="1"/>
    </xf>
    <xf numFmtId="0" fontId="86" fillId="31" borderId="16" xfId="0" applyFont="1" applyFill="1" applyBorder="1" applyAlignment="1">
      <alignment vertical="center" wrapText="1"/>
    </xf>
    <xf numFmtId="0" fontId="40" fillId="88" borderId="16" xfId="0" applyFont="1" applyFill="1" applyBorder="1" applyAlignment="1">
      <alignment horizontal="center" vertical="center" wrapText="1"/>
    </xf>
    <xf numFmtId="168" fontId="42" fillId="31" borderId="16" xfId="0" applyNumberFormat="1" applyFont="1" applyFill="1" applyBorder="1" applyAlignment="1">
      <alignment horizontal="right" vertical="center"/>
    </xf>
    <xf numFmtId="168" fontId="42" fillId="32" borderId="16" xfId="0" applyNumberFormat="1" applyFont="1" applyFill="1" applyBorder="1" applyAlignment="1">
      <alignment horizontal="right" vertical="center"/>
    </xf>
    <xf numFmtId="0" fontId="87" fillId="31" borderId="16" xfId="0" applyFont="1" applyFill="1" applyBorder="1" applyAlignment="1">
      <alignment horizontal="center" vertical="center" wrapText="1"/>
    </xf>
    <xf numFmtId="0" fontId="86" fillId="32" borderId="16" xfId="0" applyFont="1" applyFill="1" applyBorder="1" applyAlignment="1">
      <alignment vertical="center" wrapText="1"/>
    </xf>
    <xf numFmtId="174" fontId="30" fillId="0" borderId="16" xfId="5" applyNumberFormat="1" applyFont="1" applyBorder="1" applyAlignment="1">
      <alignment horizontal="center" vertical="center" wrapText="1"/>
    </xf>
    <xf numFmtId="0" fontId="87" fillId="32" borderId="16" xfId="0" applyFont="1" applyFill="1" applyBorder="1" applyAlignment="1">
      <alignment horizontal="center" vertical="center" wrapText="1"/>
    </xf>
    <xf numFmtId="0" fontId="86" fillId="31" borderId="16" xfId="0" applyFont="1" applyFill="1" applyBorder="1" applyAlignment="1">
      <alignment horizontal="center" vertical="center" wrapText="1"/>
    </xf>
    <xf numFmtId="0" fontId="40" fillId="88" borderId="16" xfId="0" applyFont="1" applyFill="1" applyBorder="1" applyAlignment="1">
      <alignment horizontal="center" vertical="center"/>
    </xf>
    <xf numFmtId="168" fontId="42" fillId="30" borderId="16" xfId="0" applyNumberFormat="1" applyFont="1" applyFill="1" applyBorder="1" applyAlignment="1">
      <alignment horizontal="right" vertical="center"/>
    </xf>
    <xf numFmtId="0" fontId="87" fillId="30" borderId="16" xfId="0" applyFont="1" applyFill="1" applyBorder="1" applyAlignment="1">
      <alignment horizontal="center" vertical="center" wrapText="1"/>
    </xf>
    <xf numFmtId="0" fontId="42" fillId="30" borderId="16" xfId="0" applyFont="1" applyFill="1" applyBorder="1" applyAlignment="1">
      <alignment horizontal="right" vertical="center"/>
    </xf>
    <xf numFmtId="0" fontId="86" fillId="32" borderId="16" xfId="0" applyFont="1" applyFill="1" applyBorder="1" applyAlignment="1">
      <alignment horizontal="center" vertical="center" wrapText="1"/>
    </xf>
    <xf numFmtId="0" fontId="30" fillId="9" borderId="16" xfId="5" applyFont="1" applyFill="1" applyBorder="1" applyAlignment="1">
      <alignment vertical="center" wrapText="1"/>
    </xf>
    <xf numFmtId="0" fontId="90" fillId="32" borderId="16" xfId="0" applyFont="1" applyFill="1" applyBorder="1" applyAlignment="1">
      <alignment horizontal="center" vertical="center" wrapText="1"/>
    </xf>
    <xf numFmtId="0" fontId="86" fillId="31" borderId="16" xfId="0" applyFont="1" applyFill="1" applyBorder="1" applyAlignment="1">
      <alignment horizontal="center" vertical="center"/>
    </xf>
    <xf numFmtId="9" fontId="86" fillId="31" borderId="16" xfId="0" applyNumberFormat="1" applyFont="1" applyFill="1" applyBorder="1" applyAlignment="1">
      <alignment horizontal="center" vertical="center" wrapText="1"/>
    </xf>
    <xf numFmtId="0" fontId="42" fillId="31" borderId="16" xfId="0" applyFont="1" applyFill="1" applyBorder="1" applyAlignment="1">
      <alignment horizontal="right" vertical="center"/>
    </xf>
    <xf numFmtId="0" fontId="97" fillId="0" borderId="16" xfId="0" applyFont="1" applyBorder="1" applyAlignment="1">
      <alignment horizontal="center" vertical="center"/>
    </xf>
    <xf numFmtId="0" fontId="32" fillId="31" borderId="16" xfId="0" applyFont="1" applyFill="1" applyBorder="1" applyAlignment="1">
      <alignment horizontal="center" vertical="center" wrapText="1"/>
    </xf>
    <xf numFmtId="168" fontId="40" fillId="31" borderId="16" xfId="0" applyNumberFormat="1" applyFont="1" applyFill="1" applyBorder="1" applyAlignment="1">
      <alignment horizontal="right" vertical="center"/>
    </xf>
    <xf numFmtId="0" fontId="32" fillId="32" borderId="16" xfId="0" applyFont="1" applyFill="1" applyBorder="1" applyAlignment="1">
      <alignment horizontal="center" vertical="center" wrapText="1"/>
    </xf>
    <xf numFmtId="9" fontId="86" fillId="89" borderId="16" xfId="0" applyNumberFormat="1" applyFont="1" applyFill="1" applyBorder="1" applyAlignment="1">
      <alignment horizontal="center" vertical="center" wrapText="1"/>
    </xf>
    <xf numFmtId="0" fontId="32" fillId="31" borderId="16" xfId="0" applyFont="1" applyFill="1" applyBorder="1" applyAlignment="1">
      <alignment horizontal="left" vertical="center" wrapText="1"/>
    </xf>
    <xf numFmtId="0" fontId="86" fillId="32" borderId="16" xfId="0" applyFont="1" applyFill="1" applyBorder="1" applyAlignment="1">
      <alignment horizontal="center" vertical="center"/>
    </xf>
    <xf numFmtId="9" fontId="86" fillId="32" borderId="16" xfId="0" applyNumberFormat="1" applyFont="1" applyFill="1" applyBorder="1" applyAlignment="1">
      <alignment horizontal="center" vertical="center" wrapText="1"/>
    </xf>
    <xf numFmtId="168" fontId="30" fillId="32" borderId="16" xfId="0" applyNumberFormat="1" applyFont="1" applyFill="1" applyBorder="1" applyAlignment="1">
      <alignment vertical="center"/>
    </xf>
    <xf numFmtId="9" fontId="86" fillId="30" borderId="16" xfId="0" applyNumberFormat="1" applyFont="1" applyFill="1" applyBorder="1" applyAlignment="1">
      <alignment horizontal="center" vertical="center"/>
    </xf>
    <xf numFmtId="9" fontId="86" fillId="30" borderId="16" xfId="0" applyNumberFormat="1" applyFont="1" applyFill="1" applyBorder="1" applyAlignment="1">
      <alignment horizontal="center" vertical="center" wrapText="1"/>
    </xf>
    <xf numFmtId="168" fontId="30" fillId="30" borderId="16" xfId="0" applyNumberFormat="1" applyFont="1" applyFill="1" applyBorder="1" applyAlignment="1">
      <alignment vertical="center"/>
    </xf>
    <xf numFmtId="0" fontId="32" fillId="30" borderId="16" xfId="0" applyFont="1" applyFill="1" applyBorder="1" applyAlignment="1">
      <alignment horizontal="center" vertical="center" wrapText="1"/>
    </xf>
    <xf numFmtId="0" fontId="86" fillId="30" borderId="16" xfId="0" applyFont="1" applyFill="1" applyBorder="1" applyAlignment="1">
      <alignment horizontal="center" vertical="center"/>
    </xf>
    <xf numFmtId="168" fontId="40" fillId="30" borderId="16" xfId="0" applyNumberFormat="1" applyFont="1" applyFill="1" applyBorder="1" applyAlignment="1">
      <alignment horizontal="right" vertical="center"/>
    </xf>
    <xf numFmtId="170" fontId="42" fillId="31" borderId="16" xfId="11" applyNumberFormat="1" applyFont="1" applyFill="1" applyBorder="1" applyAlignment="1">
      <alignment horizontal="right" vertical="center"/>
    </xf>
    <xf numFmtId="9" fontId="86" fillId="0" borderId="16" xfId="0" applyNumberFormat="1" applyFont="1" applyBorder="1" applyAlignment="1">
      <alignment horizontal="center" vertical="center"/>
    </xf>
    <xf numFmtId="0" fontId="86" fillId="61" borderId="16" xfId="0" applyFont="1" applyFill="1" applyBorder="1" applyAlignment="1">
      <alignment vertical="center" wrapText="1"/>
    </xf>
    <xf numFmtId="0" fontId="86" fillId="61" borderId="16" xfId="0" applyFont="1" applyFill="1" applyBorder="1" applyAlignment="1">
      <alignment horizontal="center" vertical="center"/>
    </xf>
    <xf numFmtId="9" fontId="86" fillId="61" borderId="16" xfId="0" applyNumberFormat="1" applyFont="1" applyFill="1" applyBorder="1" applyAlignment="1">
      <alignment horizontal="center" vertical="center" wrapText="1"/>
    </xf>
    <xf numFmtId="168" fontId="42" fillId="61" borderId="16" xfId="0" applyNumberFormat="1" applyFont="1" applyFill="1" applyBorder="1" applyAlignment="1">
      <alignment horizontal="right" vertical="center"/>
    </xf>
    <xf numFmtId="0" fontId="87" fillId="61" borderId="16" xfId="0" applyFont="1" applyFill="1" applyBorder="1" applyAlignment="1">
      <alignment horizontal="center" vertical="center" wrapText="1"/>
    </xf>
    <xf numFmtId="0" fontId="40" fillId="0" borderId="16" xfId="0" applyFont="1" applyBorder="1" applyAlignment="1">
      <alignment vertical="center"/>
    </xf>
    <xf numFmtId="9" fontId="86" fillId="90" borderId="16" xfId="0" applyNumberFormat="1" applyFont="1" applyFill="1" applyBorder="1" applyAlignment="1">
      <alignment horizontal="center" vertical="center" wrapText="1"/>
    </xf>
    <xf numFmtId="9" fontId="86" fillId="61" borderId="16" xfId="0" applyNumberFormat="1" applyFont="1" applyFill="1" applyBorder="1" applyAlignment="1">
      <alignment horizontal="center" vertical="center"/>
    </xf>
    <xf numFmtId="0" fontId="86" fillId="91" borderId="16" xfId="0" applyFont="1" applyFill="1" applyBorder="1" applyAlignment="1">
      <alignment horizontal="center" vertical="center"/>
    </xf>
    <xf numFmtId="10" fontId="30" fillId="58" borderId="16" xfId="3" applyNumberFormat="1" applyFont="1" applyFill="1" applyBorder="1" applyAlignment="1">
      <alignment horizontal="center" vertical="center" wrapText="1"/>
    </xf>
    <xf numFmtId="3" fontId="30" fillId="58" borderId="16" xfId="3" applyNumberFormat="1" applyFont="1" applyFill="1" applyBorder="1" applyAlignment="1">
      <alignment horizontal="center" vertical="center" wrapText="1"/>
    </xf>
    <xf numFmtId="0" fontId="86" fillId="92" borderId="16" xfId="0" applyFont="1" applyFill="1" applyBorder="1" applyAlignment="1">
      <alignment vertical="center" wrapText="1"/>
    </xf>
    <xf numFmtId="0" fontId="86" fillId="92" borderId="16" xfId="0" applyFont="1" applyFill="1" applyBorder="1" applyAlignment="1">
      <alignment horizontal="center" vertical="center" wrapText="1"/>
    </xf>
    <xf numFmtId="0" fontId="86" fillId="92" borderId="16" xfId="0" applyFont="1" applyFill="1" applyBorder="1" applyAlignment="1">
      <alignment horizontal="center" vertical="center"/>
    </xf>
    <xf numFmtId="9" fontId="86" fillId="92" borderId="16" xfId="0" applyNumberFormat="1" applyFont="1" applyFill="1" applyBorder="1" applyAlignment="1">
      <alignment horizontal="center" vertical="center" wrapText="1"/>
    </xf>
    <xf numFmtId="168" fontId="42" fillId="92" borderId="16" xfId="0" applyNumberFormat="1" applyFont="1" applyFill="1" applyBorder="1" applyAlignment="1">
      <alignment horizontal="right" vertical="center"/>
    </xf>
    <xf numFmtId="0" fontId="87" fillId="92" borderId="16" xfId="0" applyFont="1" applyFill="1" applyBorder="1" applyAlignment="1">
      <alignment horizontal="center" vertical="center" wrapText="1"/>
    </xf>
    <xf numFmtId="1" fontId="86" fillId="0" borderId="16" xfId="0" applyNumberFormat="1" applyFont="1" applyBorder="1" applyAlignment="1">
      <alignment horizontal="center" vertical="center"/>
    </xf>
    <xf numFmtId="0" fontId="21" fillId="9" borderId="16" xfId="0" applyFont="1" applyFill="1" applyBorder="1" applyAlignment="1">
      <alignment wrapText="1"/>
    </xf>
    <xf numFmtId="1" fontId="86" fillId="92" borderId="16" xfId="0" applyNumberFormat="1" applyFont="1" applyFill="1" applyBorder="1" applyAlignment="1">
      <alignment horizontal="center" vertical="center"/>
    </xf>
    <xf numFmtId="168" fontId="30" fillId="92" borderId="16" xfId="0" applyNumberFormat="1" applyFont="1" applyFill="1" applyBorder="1" applyAlignment="1">
      <alignment vertical="center"/>
    </xf>
    <xf numFmtId="0" fontId="21" fillId="9" borderId="16" xfId="0" applyFont="1" applyFill="1" applyBorder="1" applyAlignment="1">
      <alignment vertical="center" wrapText="1"/>
    </xf>
    <xf numFmtId="0" fontId="21" fillId="9" borderId="16" xfId="0" applyFont="1" applyFill="1" applyBorder="1" applyAlignment="1">
      <alignment vertical="top" wrapText="1"/>
    </xf>
    <xf numFmtId="0" fontId="86" fillId="93" borderId="16" xfId="0" applyFont="1" applyFill="1" applyBorder="1" applyAlignment="1">
      <alignment vertical="center" wrapText="1"/>
    </xf>
    <xf numFmtId="0" fontId="86" fillId="93" borderId="16" xfId="0" applyFont="1" applyFill="1" applyBorder="1" applyAlignment="1">
      <alignment horizontal="center" vertical="center" wrapText="1"/>
    </xf>
    <xf numFmtId="168" fontId="42" fillId="93" borderId="16" xfId="0" applyNumberFormat="1" applyFont="1" applyFill="1" applyBorder="1" applyAlignment="1">
      <alignment horizontal="right" vertical="center"/>
    </xf>
    <xf numFmtId="0" fontId="87" fillId="93" borderId="16" xfId="0" applyFont="1" applyFill="1" applyBorder="1" applyAlignment="1">
      <alignment horizontal="center" vertical="center" wrapText="1"/>
    </xf>
    <xf numFmtId="0" fontId="40" fillId="94" borderId="16" xfId="0" applyFont="1" applyFill="1" applyBorder="1" applyAlignment="1">
      <alignment horizontal="center" vertical="center"/>
    </xf>
    <xf numFmtId="9" fontId="86" fillId="95" borderId="16" xfId="0" applyNumberFormat="1" applyFont="1" applyFill="1" applyBorder="1" applyAlignment="1">
      <alignment horizontal="center" vertical="center" wrapText="1"/>
    </xf>
    <xf numFmtId="9" fontId="40" fillId="0" borderId="16" xfId="3" applyFont="1" applyFill="1" applyBorder="1" applyAlignment="1">
      <alignment horizontal="center" vertical="center"/>
    </xf>
    <xf numFmtId="9" fontId="40" fillId="0" borderId="77" xfId="3" applyFont="1" applyFill="1" applyBorder="1" applyAlignment="1">
      <alignment horizontal="center" vertical="center"/>
    </xf>
    <xf numFmtId="168" fontId="30" fillId="61" borderId="16" xfId="0" applyNumberFormat="1" applyFont="1" applyFill="1" applyBorder="1" applyAlignment="1">
      <alignment vertical="center"/>
    </xf>
    <xf numFmtId="0" fontId="90" fillId="61" borderId="16" xfId="0" applyFont="1" applyFill="1" applyBorder="1" applyAlignment="1">
      <alignment horizontal="center" vertical="center"/>
    </xf>
    <xf numFmtId="1" fontId="86" fillId="61" borderId="16" xfId="0" applyNumberFormat="1" applyFont="1" applyFill="1" applyBorder="1" applyAlignment="1">
      <alignment horizontal="center" vertical="center"/>
    </xf>
    <xf numFmtId="171" fontId="42" fillId="61" borderId="16" xfId="0" applyNumberFormat="1" applyFont="1" applyFill="1" applyBorder="1" applyAlignment="1">
      <alignment horizontal="right" vertical="center"/>
    </xf>
    <xf numFmtId="0" fontId="32" fillId="92" borderId="16" xfId="0" applyFont="1" applyFill="1" applyBorder="1" applyAlignment="1">
      <alignment horizontal="center" vertical="center" wrapText="1"/>
    </xf>
    <xf numFmtId="9" fontId="86" fillId="92" borderId="16" xfId="0" applyNumberFormat="1" applyFont="1" applyFill="1" applyBorder="1" applyAlignment="1">
      <alignment horizontal="center" vertical="center"/>
    </xf>
    <xf numFmtId="4" fontId="30" fillId="0" borderId="16" xfId="5" applyNumberFormat="1" applyFont="1" applyBorder="1" applyAlignment="1">
      <alignment horizontal="center" vertical="center" wrapText="1"/>
    </xf>
    <xf numFmtId="1" fontId="90" fillId="61" borderId="16" xfId="0" applyNumberFormat="1" applyFont="1" applyFill="1" applyBorder="1" applyAlignment="1">
      <alignment horizontal="center" vertical="center"/>
    </xf>
    <xf numFmtId="168" fontId="30" fillId="9" borderId="16" xfId="0" applyNumberFormat="1" applyFont="1" applyFill="1" applyBorder="1" applyAlignment="1">
      <alignment vertical="center"/>
    </xf>
    <xf numFmtId="0" fontId="87" fillId="0" borderId="16" xfId="0" applyFont="1" applyBorder="1" applyAlignment="1">
      <alignment horizontal="center"/>
    </xf>
    <xf numFmtId="0" fontId="32" fillId="61" borderId="16" xfId="0" applyFont="1" applyFill="1" applyBorder="1" applyAlignment="1">
      <alignment horizontal="center" vertical="center" wrapText="1"/>
    </xf>
    <xf numFmtId="168" fontId="30" fillId="0" borderId="16" xfId="0" applyNumberFormat="1" applyFont="1" applyBorder="1" applyAlignment="1">
      <alignment vertical="center"/>
    </xf>
    <xf numFmtId="168" fontId="30" fillId="93" borderId="16" xfId="0" applyNumberFormat="1" applyFont="1" applyFill="1" applyBorder="1" applyAlignment="1">
      <alignment horizontal="right" vertical="center"/>
    </xf>
    <xf numFmtId="168" fontId="30" fillId="61" borderId="16" xfId="0" applyNumberFormat="1" applyFont="1" applyFill="1" applyBorder="1" applyAlignment="1">
      <alignment horizontal="right" vertical="center"/>
    </xf>
    <xf numFmtId="0" fontId="32" fillId="93" borderId="16" xfId="0" applyFont="1" applyFill="1" applyBorder="1" applyAlignment="1">
      <alignment horizontal="center" vertical="center" wrapText="1"/>
    </xf>
    <xf numFmtId="9" fontId="86" fillId="93" borderId="16" xfId="0" applyNumberFormat="1" applyFont="1" applyFill="1" applyBorder="1" applyAlignment="1">
      <alignment horizontal="center" vertical="center"/>
    </xf>
    <xf numFmtId="0" fontId="21" fillId="0" borderId="0" xfId="0" applyFont="1" applyAlignment="1">
      <alignment horizontal="justify" vertical="center" wrapText="1"/>
    </xf>
    <xf numFmtId="0" fontId="75" fillId="0" borderId="16" xfId="5" applyFont="1" applyBorder="1" applyAlignment="1">
      <alignment horizontal="center" vertical="center" wrapText="1"/>
    </xf>
    <xf numFmtId="168" fontId="30" fillId="92" borderId="16" xfId="0" applyNumberFormat="1" applyFont="1" applyFill="1" applyBorder="1" applyAlignment="1">
      <alignment horizontal="right" vertical="center"/>
    </xf>
    <xf numFmtId="168" fontId="40" fillId="92" borderId="16" xfId="0" applyNumberFormat="1" applyFont="1" applyFill="1" applyBorder="1" applyAlignment="1">
      <alignment horizontal="right" vertical="center"/>
    </xf>
    <xf numFmtId="0" fontId="75" fillId="9" borderId="16" xfId="5" applyFont="1" applyFill="1" applyBorder="1" applyAlignment="1">
      <alignment horizontal="center" vertical="center" wrapText="1"/>
    </xf>
    <xf numFmtId="9" fontId="86" fillId="96" borderId="16" xfId="0" applyNumberFormat="1" applyFont="1" applyFill="1" applyBorder="1" applyAlignment="1">
      <alignment horizontal="center" vertical="center" wrapText="1"/>
    </xf>
    <xf numFmtId="9" fontId="86" fillId="93" borderId="16" xfId="0" applyNumberFormat="1" applyFont="1" applyFill="1" applyBorder="1" applyAlignment="1">
      <alignment horizontal="center" vertical="center" wrapText="1"/>
    </xf>
    <xf numFmtId="0" fontId="86" fillId="93" borderId="16" xfId="0" applyFont="1" applyFill="1" applyBorder="1" applyAlignment="1">
      <alignment horizontal="center" vertical="center"/>
    </xf>
    <xf numFmtId="0" fontId="30" fillId="97" borderId="16" xfId="0" applyFont="1" applyFill="1" applyBorder="1" applyAlignment="1">
      <alignment vertical="center" wrapText="1"/>
    </xf>
    <xf numFmtId="0" fontId="98" fillId="58" borderId="16" xfId="5" applyFont="1" applyFill="1" applyBorder="1" applyAlignment="1">
      <alignment horizontal="center" vertical="center" wrapText="1"/>
    </xf>
    <xf numFmtId="167" fontId="98" fillId="58" borderId="16" xfId="5" applyNumberFormat="1" applyFont="1" applyFill="1" applyBorder="1" applyAlignment="1">
      <alignment horizontal="center" vertical="center" wrapText="1"/>
    </xf>
    <xf numFmtId="10" fontId="98" fillId="58" borderId="16" xfId="3" applyNumberFormat="1" applyFont="1" applyFill="1" applyBorder="1" applyAlignment="1">
      <alignment horizontal="center" vertical="center" wrapText="1"/>
    </xf>
    <xf numFmtId="171" fontId="98" fillId="58" borderId="16" xfId="5" applyNumberFormat="1" applyFont="1" applyFill="1" applyBorder="1" applyAlignment="1">
      <alignment horizontal="center" vertical="center" wrapText="1"/>
    </xf>
    <xf numFmtId="171" fontId="99" fillId="58" borderId="16" xfId="5" applyNumberFormat="1" applyFont="1" applyFill="1" applyBorder="1" applyAlignment="1">
      <alignment horizontal="center" vertical="center" wrapText="1"/>
    </xf>
    <xf numFmtId="171" fontId="98" fillId="3" borderId="16" xfId="5" applyNumberFormat="1" applyFont="1" applyFill="1" applyBorder="1" applyAlignment="1">
      <alignment horizontal="center" vertical="center" wrapText="1"/>
    </xf>
    <xf numFmtId="3" fontId="98" fillId="58" borderId="16" xfId="5" applyNumberFormat="1" applyFont="1" applyFill="1" applyBorder="1" applyAlignment="1">
      <alignment horizontal="center" vertical="center" wrapText="1"/>
    </xf>
    <xf numFmtId="10" fontId="99" fillId="58" borderId="16" xfId="3" applyNumberFormat="1" applyFont="1" applyFill="1" applyBorder="1" applyAlignment="1">
      <alignment horizontal="center" vertical="center" wrapText="1"/>
    </xf>
    <xf numFmtId="3" fontId="99" fillId="58" borderId="16" xfId="3" applyNumberFormat="1" applyFont="1" applyFill="1" applyBorder="1" applyAlignment="1">
      <alignment horizontal="center" vertical="center" wrapText="1"/>
    </xf>
    <xf numFmtId="9" fontId="99" fillId="58" borderId="16" xfId="3" applyFont="1" applyFill="1" applyBorder="1" applyAlignment="1">
      <alignment horizontal="center" vertical="center" wrapText="1"/>
    </xf>
    <xf numFmtId="0" fontId="30" fillId="58" borderId="16" xfId="5" applyFont="1" applyFill="1" applyBorder="1" applyAlignment="1">
      <alignment vertical="center" wrapText="1"/>
    </xf>
    <xf numFmtId="0" fontId="30" fillId="0" borderId="0" xfId="5" applyFont="1" applyAlignment="1">
      <alignment horizontal="center" vertical="center" wrapText="1"/>
    </xf>
    <xf numFmtId="171" fontId="30" fillId="0" borderId="0" xfId="5" applyNumberFormat="1" applyFont="1" applyAlignment="1">
      <alignment vertical="center" wrapText="1"/>
    </xf>
    <xf numFmtId="43" fontId="30" fillId="0" borderId="0" xfId="4" applyFont="1" applyAlignment="1">
      <alignment vertical="center" wrapText="1"/>
    </xf>
    <xf numFmtId="0" fontId="30" fillId="0" borderId="0" xfId="5" applyFont="1" applyAlignment="1">
      <alignment horizontal="right" vertical="center" wrapText="1"/>
    </xf>
    <xf numFmtId="43" fontId="30" fillId="0" borderId="0" xfId="4" applyFont="1" applyAlignment="1">
      <alignment horizontal="right" vertical="center" wrapText="1"/>
    </xf>
    <xf numFmtId="0" fontId="33" fillId="0" borderId="0" xfId="5" applyFont="1" applyAlignment="1">
      <alignment horizontal="right" vertical="center"/>
    </xf>
    <xf numFmtId="0" fontId="33" fillId="0" borderId="0" xfId="5" applyFont="1" applyAlignment="1">
      <alignment vertical="center" wrapText="1"/>
    </xf>
    <xf numFmtId="167" fontId="33" fillId="0" borderId="0" xfId="3" applyNumberFormat="1" applyFont="1" applyBorder="1" applyAlignment="1">
      <alignment horizontal="center" vertical="center" wrapText="1"/>
    </xf>
    <xf numFmtId="0" fontId="33" fillId="0" borderId="0" xfId="5" applyFont="1" applyAlignment="1">
      <alignment horizontal="center" vertical="center" wrapText="1"/>
    </xf>
    <xf numFmtId="3" fontId="33" fillId="3" borderId="0" xfId="5" applyNumberFormat="1" applyFont="1" applyFill="1" applyAlignment="1">
      <alignment vertical="center" wrapText="1"/>
    </xf>
    <xf numFmtId="43" fontId="33" fillId="0" borderId="0" xfId="4" applyFont="1" applyBorder="1" applyAlignment="1">
      <alignment vertical="center" wrapText="1"/>
    </xf>
    <xf numFmtId="43" fontId="33" fillId="68" borderId="0" xfId="4" applyFont="1" applyFill="1" applyAlignment="1">
      <alignment vertical="center" wrapText="1"/>
    </xf>
    <xf numFmtId="175" fontId="33" fillId="0" borderId="0" xfId="5" applyNumberFormat="1" applyFont="1" applyAlignment="1">
      <alignment vertical="center" wrapText="1"/>
    </xf>
    <xf numFmtId="171" fontId="33" fillId="0" borderId="0" xfId="5" applyNumberFormat="1" applyFont="1" applyAlignment="1">
      <alignment vertical="center" wrapText="1"/>
    </xf>
    <xf numFmtId="171" fontId="41" fillId="62" borderId="0" xfId="5" applyNumberFormat="1" applyFont="1" applyFill="1" applyAlignment="1">
      <alignment horizontal="center" vertical="center" wrapText="1"/>
    </xf>
    <xf numFmtId="43" fontId="33" fillId="3" borderId="0" xfId="5" applyNumberFormat="1" applyFont="1" applyFill="1" applyAlignment="1">
      <alignment vertical="center" wrapText="1"/>
    </xf>
    <xf numFmtId="4" fontId="33" fillId="0" borderId="0" xfId="5" applyNumberFormat="1" applyFont="1" applyAlignment="1">
      <alignment vertical="center" wrapText="1"/>
    </xf>
    <xf numFmtId="43" fontId="30" fillId="0" borderId="0" xfId="4" applyFont="1" applyBorder="1" applyAlignment="1">
      <alignment horizontal="right" vertical="center" wrapText="1"/>
    </xf>
    <xf numFmtId="0" fontId="33" fillId="0" borderId="0" xfId="5" applyFont="1" applyAlignment="1">
      <alignment horizontal="left" vertical="center" wrapText="1"/>
    </xf>
    <xf numFmtId="43" fontId="30" fillId="0" borderId="0" xfId="4" applyFont="1" applyBorder="1" applyAlignment="1">
      <alignment vertical="center" wrapText="1"/>
    </xf>
    <xf numFmtId="0" fontId="30" fillId="0" borderId="0" xfId="5" applyFont="1" applyAlignment="1">
      <alignment horizontal="justify" vertical="center" wrapText="1"/>
    </xf>
    <xf numFmtId="0" fontId="30" fillId="0" borderId="0" xfId="5" applyFont="1" applyAlignment="1">
      <alignment horizontal="left" vertical="center" wrapText="1"/>
    </xf>
    <xf numFmtId="0" fontId="32" fillId="0" borderId="0" xfId="5" applyAlignment="1">
      <alignment vertical="center"/>
    </xf>
    <xf numFmtId="0" fontId="102" fillId="13" borderId="1" xfId="5" applyFont="1" applyFill="1" applyBorder="1" applyAlignment="1">
      <alignment horizontal="center" vertical="center" wrapText="1"/>
    </xf>
    <xf numFmtId="0" fontId="102" fillId="0" borderId="50" xfId="5" applyFont="1" applyBorder="1" applyAlignment="1">
      <alignment vertical="center" wrapText="1"/>
    </xf>
    <xf numFmtId="0" fontId="103" fillId="0" borderId="50" xfId="5" applyFont="1" applyBorder="1" applyAlignment="1">
      <alignment horizontal="justify" vertical="center" wrapText="1"/>
    </xf>
    <xf numFmtId="0" fontId="103" fillId="0" borderId="58" xfId="5" applyFont="1" applyBorder="1" applyAlignment="1">
      <alignment horizontal="justify" vertical="center" wrapText="1"/>
    </xf>
    <xf numFmtId="0" fontId="103" fillId="0" borderId="69" xfId="5" applyFont="1" applyBorder="1" applyAlignment="1">
      <alignment horizontal="justify" vertical="center" wrapText="1"/>
    </xf>
    <xf numFmtId="0" fontId="102" fillId="0" borderId="51" xfId="5" applyFont="1" applyBorder="1" applyAlignment="1">
      <alignment vertical="center" wrapText="1"/>
    </xf>
    <xf numFmtId="0" fontId="103" fillId="0" borderId="51" xfId="5" applyFont="1" applyBorder="1" applyAlignment="1">
      <alignment horizontal="justify" vertical="center" wrapText="1"/>
    </xf>
    <xf numFmtId="0" fontId="105" fillId="0" borderId="12" xfId="0" applyFont="1" applyBorder="1" applyAlignment="1">
      <alignment wrapText="1"/>
    </xf>
    <xf numFmtId="0" fontId="57" fillId="0" borderId="6" xfId="0" applyFont="1" applyBorder="1" applyAlignment="1">
      <alignment horizontal="center" vertical="center" wrapText="1"/>
    </xf>
    <xf numFmtId="0" fontId="57" fillId="0" borderId="12" xfId="0" applyFont="1" applyBorder="1" applyAlignment="1">
      <alignment horizontal="center" vertical="center" wrapText="1"/>
    </xf>
    <xf numFmtId="0" fontId="7" fillId="0" borderId="5" xfId="0" applyFont="1" applyBorder="1" applyAlignment="1">
      <alignment vertical="center" wrapText="1"/>
    </xf>
    <xf numFmtId="9" fontId="4" fillId="4" borderId="8" xfId="3" applyFont="1" applyFill="1" applyBorder="1" applyAlignment="1">
      <alignment horizontal="center" vertical="top"/>
    </xf>
    <xf numFmtId="3" fontId="4" fillId="0" borderId="7" xfId="0" applyNumberFormat="1" applyFont="1" applyBorder="1" applyAlignment="1" applyProtection="1">
      <alignment horizontal="center" vertical="center" wrapText="1"/>
      <protection locked="0"/>
    </xf>
    <xf numFmtId="2" fontId="30" fillId="0" borderId="16" xfId="3" applyNumberFormat="1" applyFont="1" applyFill="1" applyBorder="1" applyAlignment="1">
      <alignment horizontal="center" vertical="center" wrapText="1"/>
    </xf>
    <xf numFmtId="165" fontId="86" fillId="0" borderId="16" xfId="4" applyNumberFormat="1" applyFont="1" applyFill="1" applyBorder="1" applyAlignment="1">
      <alignment horizontal="center" vertical="center"/>
    </xf>
    <xf numFmtId="9" fontId="87" fillId="0" borderId="16" xfId="0" applyNumberFormat="1" applyFont="1" applyBorder="1" applyAlignment="1">
      <alignment horizontal="center" vertical="center" wrapText="1"/>
    </xf>
    <xf numFmtId="167" fontId="86" fillId="0" borderId="16" xfId="0" applyNumberFormat="1" applyFont="1" applyBorder="1" applyAlignment="1">
      <alignment horizontal="center" vertical="center"/>
    </xf>
    <xf numFmtId="1" fontId="40" fillId="0" borderId="16" xfId="0" applyNumberFormat="1" applyFont="1" applyBorder="1" applyAlignment="1">
      <alignment horizontal="center" vertical="center"/>
    </xf>
    <xf numFmtId="49" fontId="37" fillId="0" borderId="44" xfId="5" applyNumberFormat="1" applyFont="1" applyBorder="1" applyAlignment="1">
      <alignment horizontal="center" vertical="center" wrapText="1"/>
    </xf>
    <xf numFmtId="49" fontId="37" fillId="0" borderId="42" xfId="5" applyNumberFormat="1" applyFont="1" applyBorder="1" applyAlignment="1">
      <alignment horizontal="center" vertical="center" wrapText="1"/>
    </xf>
    <xf numFmtId="49" fontId="37" fillId="0" borderId="45" xfId="5" applyNumberFormat="1" applyFont="1" applyBorder="1" applyAlignment="1">
      <alignment horizontal="center" vertical="center" wrapText="1"/>
    </xf>
    <xf numFmtId="49" fontId="37" fillId="0" borderId="45" xfId="5" applyNumberFormat="1" applyFont="1" applyBorder="1" applyAlignment="1">
      <alignment horizontal="center" vertical="center"/>
    </xf>
    <xf numFmtId="0" fontId="37" fillId="0" borderId="45" xfId="5" applyFont="1" applyBorder="1" applyAlignment="1">
      <alignment horizontal="center" vertical="center" wrapText="1"/>
    </xf>
    <xf numFmtId="0" fontId="32" fillId="11" borderId="14" xfId="5" applyFill="1" applyBorder="1" applyAlignment="1">
      <alignment horizontal="center"/>
    </xf>
    <xf numFmtId="0" fontId="32" fillId="11" borderId="15" xfId="5" applyFill="1" applyBorder="1" applyAlignment="1">
      <alignment horizontal="center"/>
    </xf>
    <xf numFmtId="0" fontId="21" fillId="11" borderId="15" xfId="5" applyFont="1" applyFill="1" applyBorder="1" applyAlignment="1">
      <alignment horizontal="center"/>
    </xf>
    <xf numFmtId="0" fontId="32" fillId="11" borderId="7" xfId="5" applyFill="1" applyBorder="1" applyAlignment="1">
      <alignment horizontal="center"/>
    </xf>
    <xf numFmtId="0" fontId="34" fillId="0" borderId="2" xfId="5" applyFont="1" applyBorder="1" applyAlignment="1">
      <alignment horizontal="center"/>
    </xf>
    <xf numFmtId="0" fontId="34" fillId="0" borderId="3" xfId="5" applyFont="1" applyBorder="1" applyAlignment="1">
      <alignment horizontal="center"/>
    </xf>
    <xf numFmtId="0" fontId="35" fillId="0" borderId="3" xfId="5" applyFont="1" applyBorder="1" applyAlignment="1">
      <alignment horizontal="center"/>
    </xf>
    <xf numFmtId="0" fontId="34" fillId="0" borderId="4" xfId="5" applyFont="1" applyBorder="1" applyAlignment="1">
      <alignment horizontal="center"/>
    </xf>
    <xf numFmtId="0" fontId="34" fillId="0" borderId="9" xfId="5" applyFont="1" applyBorder="1" applyAlignment="1">
      <alignment horizontal="center"/>
    </xf>
    <xf numFmtId="0" fontId="34" fillId="0" borderId="0" xfId="5" applyFont="1" applyAlignment="1">
      <alignment horizontal="center"/>
    </xf>
    <xf numFmtId="0" fontId="35" fillId="0" borderId="0" xfId="5" applyFont="1" applyAlignment="1">
      <alignment horizontal="center"/>
    </xf>
    <xf numFmtId="0" fontId="34" fillId="0" borderId="6" xfId="5" applyFont="1" applyBorder="1" applyAlignment="1">
      <alignment horizontal="center"/>
    </xf>
    <xf numFmtId="0" fontId="34" fillId="0" borderId="10" xfId="5" applyFont="1" applyBorder="1" applyAlignment="1">
      <alignment horizontal="center"/>
    </xf>
    <xf numFmtId="0" fontId="34" fillId="0" borderId="11" xfId="5" applyFont="1" applyBorder="1" applyAlignment="1">
      <alignment horizontal="center"/>
    </xf>
    <xf numFmtId="0" fontId="35" fillId="0" borderId="11" xfId="5" applyFont="1" applyBorder="1" applyAlignment="1">
      <alignment horizontal="center"/>
    </xf>
    <xf numFmtId="0" fontId="34" fillId="0" borderId="8" xfId="5" applyFont="1" applyBorder="1" applyAlignment="1">
      <alignment horizontal="center"/>
    </xf>
    <xf numFmtId="0" fontId="36" fillId="0" borderId="40" xfId="0" applyFont="1" applyBorder="1" applyAlignment="1">
      <alignment horizontal="center" vertical="center" wrapText="1"/>
    </xf>
    <xf numFmtId="0" fontId="36" fillId="0" borderId="40" xfId="0" applyFont="1" applyBorder="1" applyAlignment="1">
      <alignment horizontal="center" vertical="center"/>
    </xf>
    <xf numFmtId="0" fontId="36" fillId="0" borderId="41" xfId="0" applyFont="1" applyBorder="1" applyAlignment="1">
      <alignment horizontal="center" vertical="center"/>
    </xf>
    <xf numFmtId="49" fontId="38" fillId="0" borderId="42" xfId="5" applyNumberFormat="1" applyFont="1" applyBorder="1" applyAlignment="1">
      <alignment horizontal="center" vertical="center" wrapText="1"/>
    </xf>
    <xf numFmtId="49" fontId="37" fillId="0" borderId="43" xfId="5" applyNumberFormat="1" applyFont="1" applyBorder="1" applyAlignment="1">
      <alignment horizontal="center" vertical="center" wrapText="1"/>
    </xf>
    <xf numFmtId="49" fontId="37" fillId="0" borderId="40" xfId="5" applyNumberFormat="1" applyFont="1" applyBorder="1" applyAlignment="1">
      <alignment horizontal="center" vertical="center" wrapText="1"/>
    </xf>
    <xf numFmtId="49" fontId="37" fillId="0" borderId="41" xfId="5" applyNumberFormat="1" applyFont="1" applyBorder="1" applyAlignment="1">
      <alignment horizontal="center" vertical="center" wrapText="1"/>
    </xf>
    <xf numFmtId="49" fontId="37" fillId="9" borderId="44" xfId="5" applyNumberFormat="1" applyFont="1" applyFill="1" applyBorder="1" applyAlignment="1">
      <alignment horizontal="center" vertical="center" wrapText="1"/>
    </xf>
    <xf numFmtId="49" fontId="37" fillId="9" borderId="42" xfId="5" applyNumberFormat="1" applyFont="1" applyFill="1" applyBorder="1" applyAlignment="1">
      <alignment horizontal="center" vertical="center" wrapText="1"/>
    </xf>
    <xf numFmtId="0" fontId="33" fillId="11" borderId="11" xfId="5" applyFont="1" applyFill="1" applyBorder="1" applyAlignment="1">
      <alignment horizontal="center" vertical="center"/>
    </xf>
    <xf numFmtId="0" fontId="33" fillId="13" borderId="2" xfId="5" applyFont="1" applyFill="1" applyBorder="1" applyAlignment="1">
      <alignment horizontal="center" vertical="center" wrapText="1"/>
    </xf>
    <xf numFmtId="0" fontId="33" fillId="13" borderId="4" xfId="5" applyFont="1" applyFill="1" applyBorder="1" applyAlignment="1">
      <alignment horizontal="center" vertical="center" wrapText="1"/>
    </xf>
    <xf numFmtId="0" fontId="33" fillId="13" borderId="14" xfId="5" applyFont="1" applyFill="1" applyBorder="1" applyAlignment="1">
      <alignment horizontal="center" vertical="center" wrapText="1"/>
    </xf>
    <xf numFmtId="0" fontId="33" fillId="13" borderId="7" xfId="5" applyFont="1" applyFill="1" applyBorder="1" applyAlignment="1">
      <alignment horizontal="center" vertical="center" wrapText="1"/>
    </xf>
    <xf numFmtId="0" fontId="31" fillId="12" borderId="14" xfId="0" applyFont="1" applyFill="1" applyBorder="1" applyAlignment="1">
      <alignment horizontal="center" vertical="center" wrapText="1"/>
    </xf>
    <xf numFmtId="0" fontId="31" fillId="12" borderId="15" xfId="0" applyFont="1" applyFill="1" applyBorder="1" applyAlignment="1">
      <alignment horizontal="center" vertical="center" wrapText="1"/>
    </xf>
    <xf numFmtId="0" fontId="31" fillId="12" borderId="7" xfId="0" applyFont="1" applyFill="1" applyBorder="1" applyAlignment="1">
      <alignment horizontal="center" vertical="center" wrapText="1"/>
    </xf>
    <xf numFmtId="0" fontId="33" fillId="0" borderId="0" xfId="5" applyFont="1" applyAlignment="1">
      <alignment horizontal="left" vertical="center" wrapText="1"/>
    </xf>
    <xf numFmtId="0" fontId="30" fillId="0" borderId="0" xfId="5" applyFont="1" applyAlignment="1">
      <alignment horizontal="justify" vertical="center" wrapText="1"/>
    </xf>
    <xf numFmtId="0" fontId="30" fillId="0" borderId="0" xfId="5" applyFont="1" applyAlignment="1">
      <alignment horizontal="left" vertical="center" wrapText="1"/>
    </xf>
    <xf numFmtId="0" fontId="87" fillId="92" borderId="16" xfId="0" applyFont="1" applyFill="1" applyBorder="1" applyAlignment="1">
      <alignment horizontal="center" vertical="center" wrapText="1"/>
    </xf>
    <xf numFmtId="0" fontId="88" fillId="9" borderId="16" xfId="0" applyFont="1" applyFill="1" applyBorder="1"/>
    <xf numFmtId="0" fontId="87" fillId="61" borderId="16" xfId="0" applyFont="1" applyFill="1" applyBorder="1" applyAlignment="1">
      <alignment horizontal="center" vertical="center" wrapText="1"/>
    </xf>
    <xf numFmtId="0" fontId="98" fillId="58" borderId="16" xfId="5" applyFont="1" applyFill="1" applyBorder="1" applyAlignment="1">
      <alignment horizontal="center" vertical="center" wrapText="1"/>
    </xf>
    <xf numFmtId="0" fontId="30" fillId="0" borderId="16" xfId="5" applyFont="1" applyBorder="1" applyAlignment="1">
      <alignment horizontal="left" vertical="center" wrapText="1"/>
    </xf>
    <xf numFmtId="0" fontId="33" fillId="0" borderId="0" xfId="5" applyFont="1" applyAlignment="1">
      <alignment horizontal="center" vertical="center" wrapText="1"/>
    </xf>
    <xf numFmtId="0" fontId="32" fillId="92" borderId="16" xfId="0" applyFont="1" applyFill="1" applyBorder="1" applyAlignment="1">
      <alignment horizontal="center" vertical="center" wrapText="1"/>
    </xf>
    <xf numFmtId="0" fontId="87" fillId="78" borderId="16" xfId="0" applyFont="1" applyFill="1" applyBorder="1" applyAlignment="1">
      <alignment horizontal="center" vertical="center" wrapText="1"/>
    </xf>
    <xf numFmtId="0" fontId="87" fillId="79" borderId="16" xfId="0" applyFont="1" applyFill="1" applyBorder="1" applyAlignment="1">
      <alignment horizontal="center" vertical="center" wrapText="1"/>
    </xf>
    <xf numFmtId="0" fontId="87" fillId="80" borderId="16" xfId="0" applyFont="1" applyFill="1" applyBorder="1" applyAlignment="1">
      <alignment horizontal="center" vertical="center" wrapText="1"/>
    </xf>
    <xf numFmtId="0" fontId="87" fillId="77" borderId="16" xfId="0" applyFont="1" applyFill="1" applyBorder="1" applyAlignment="1">
      <alignment horizontal="center" vertical="center" wrapText="1"/>
    </xf>
    <xf numFmtId="0" fontId="87" fillId="31" borderId="16" xfId="0" applyFont="1" applyFill="1" applyBorder="1" applyAlignment="1">
      <alignment horizontal="center" vertical="center" wrapText="1"/>
    </xf>
    <xf numFmtId="0" fontId="87" fillId="63" borderId="16" xfId="0" applyFont="1" applyFill="1" applyBorder="1" applyAlignment="1">
      <alignment horizontal="center" vertical="center" wrapText="1"/>
    </xf>
    <xf numFmtId="0" fontId="87" fillId="60" borderId="16" xfId="0" applyFont="1" applyFill="1" applyBorder="1" applyAlignment="1">
      <alignment horizontal="center" vertical="center" wrapText="1"/>
    </xf>
    <xf numFmtId="0" fontId="32" fillId="63" borderId="16" xfId="0" applyFont="1" applyFill="1" applyBorder="1" applyAlignment="1">
      <alignment horizontal="center" vertical="center" wrapText="1"/>
    </xf>
    <xf numFmtId="0" fontId="32" fillId="65" borderId="16" xfId="0" applyFont="1" applyFill="1" applyBorder="1" applyAlignment="1">
      <alignment horizontal="center" vertical="center" wrapText="1"/>
    </xf>
    <xf numFmtId="0" fontId="32" fillId="72" borderId="16" xfId="0" applyFont="1" applyFill="1" applyBorder="1" applyAlignment="1">
      <alignment horizontal="center" vertical="center" wrapText="1"/>
    </xf>
    <xf numFmtId="0" fontId="87" fillId="29" borderId="16" xfId="0" applyFont="1" applyFill="1" applyBorder="1" applyAlignment="1">
      <alignment horizontal="center" vertical="center" wrapText="1"/>
    </xf>
    <xf numFmtId="0" fontId="87" fillId="72" borderId="16" xfId="0" applyFont="1" applyFill="1" applyBorder="1" applyAlignment="1">
      <alignment horizontal="center" vertical="center" wrapText="1"/>
    </xf>
    <xf numFmtId="0" fontId="32" fillId="60" borderId="16" xfId="0" applyFont="1" applyFill="1" applyBorder="1" applyAlignment="1">
      <alignment horizontal="center" vertical="center" wrapText="1"/>
    </xf>
    <xf numFmtId="0" fontId="33" fillId="53" borderId="16" xfId="0" applyFont="1" applyFill="1" applyBorder="1" applyAlignment="1">
      <alignment horizontal="center" vertical="center" wrapText="1"/>
    </xf>
    <xf numFmtId="0" fontId="84" fillId="54" borderId="16" xfId="0" applyFont="1" applyFill="1" applyBorder="1" applyAlignment="1" applyProtection="1">
      <alignment horizontal="center" vertical="center" wrapText="1"/>
      <protection locked="0"/>
    </xf>
    <xf numFmtId="0" fontId="33" fillId="47" borderId="16" xfId="0" applyFont="1" applyFill="1" applyBorder="1" applyAlignment="1">
      <alignment horizontal="center" vertical="center" wrapText="1"/>
    </xf>
    <xf numFmtId="0" fontId="33" fillId="49" borderId="16" xfId="0" applyFont="1" applyFill="1" applyBorder="1" applyAlignment="1">
      <alignment horizontal="center" vertical="center" wrapText="1"/>
    </xf>
    <xf numFmtId="0" fontId="33" fillId="52" borderId="16" xfId="0" applyFont="1" applyFill="1" applyBorder="1" applyAlignment="1">
      <alignment horizontal="center" vertical="center" wrapText="1"/>
    </xf>
    <xf numFmtId="0" fontId="33" fillId="50" borderId="16" xfId="0" applyFont="1" applyFill="1" applyBorder="1" applyAlignment="1">
      <alignment horizontal="center" vertical="center" wrapText="1"/>
    </xf>
    <xf numFmtId="44" fontId="33" fillId="50" borderId="16" xfId="11" applyFont="1" applyFill="1" applyBorder="1" applyAlignment="1">
      <alignment horizontal="center" vertical="center" wrapText="1"/>
    </xf>
    <xf numFmtId="10" fontId="33" fillId="51" borderId="16" xfId="0" applyNumberFormat="1" applyFont="1" applyFill="1" applyBorder="1" applyAlignment="1">
      <alignment horizontal="center" vertical="center" wrapText="1"/>
    </xf>
    <xf numFmtId="0" fontId="33" fillId="48" borderId="16" xfId="5" applyFont="1" applyFill="1" applyBorder="1" applyAlignment="1">
      <alignment horizontal="center" vertical="center" wrapText="1"/>
    </xf>
    <xf numFmtId="0" fontId="30" fillId="42" borderId="74" xfId="0" applyFont="1" applyFill="1" applyBorder="1" applyAlignment="1">
      <alignment horizontal="center" vertical="center" wrapText="1"/>
    </xf>
    <xf numFmtId="0" fontId="30" fillId="42" borderId="0" xfId="0" applyFont="1" applyFill="1" applyAlignment="1">
      <alignment horizontal="center" vertical="center" wrapText="1"/>
    </xf>
    <xf numFmtId="0" fontId="80" fillId="0" borderId="0" xfId="0" applyFont="1"/>
    <xf numFmtId="0" fontId="81" fillId="43" borderId="74" xfId="0" applyFont="1" applyFill="1" applyBorder="1" applyAlignment="1">
      <alignment horizontal="center" vertical="center" wrapText="1"/>
    </xf>
    <xf numFmtId="0" fontId="81" fillId="43" borderId="0" xfId="0" applyFont="1" applyFill="1" applyAlignment="1">
      <alignment horizontal="center" vertical="center" wrapText="1"/>
    </xf>
    <xf numFmtId="0" fontId="82" fillId="43" borderId="75" xfId="0" applyFont="1" applyFill="1" applyBorder="1" applyAlignment="1">
      <alignment horizontal="center" vertical="center" wrapText="1"/>
    </xf>
    <xf numFmtId="0" fontId="82" fillId="43" borderId="25" xfId="0" applyFont="1" applyFill="1" applyBorder="1" applyAlignment="1">
      <alignment horizontal="center" vertical="center" wrapText="1"/>
    </xf>
    <xf numFmtId="0" fontId="33" fillId="44" borderId="16" xfId="0" applyFont="1" applyFill="1" applyBorder="1" applyAlignment="1">
      <alignment horizontal="center" vertical="center" wrapText="1"/>
    </xf>
    <xf numFmtId="0" fontId="33" fillId="45" borderId="16" xfId="0" applyFont="1" applyFill="1" applyBorder="1" applyAlignment="1">
      <alignment horizontal="center" vertical="center" wrapText="1"/>
    </xf>
    <xf numFmtId="0" fontId="80" fillId="0" borderId="16" xfId="0" applyFont="1" applyBorder="1"/>
    <xf numFmtId="0" fontId="83" fillId="46" borderId="16" xfId="0" applyFont="1" applyFill="1" applyBorder="1" applyAlignment="1">
      <alignment horizontal="center"/>
    </xf>
    <xf numFmtId="0" fontId="33" fillId="13" borderId="16" xfId="5" applyFont="1" applyFill="1" applyBorder="1" applyAlignment="1">
      <alignment horizontal="center" vertical="center" wrapText="1"/>
    </xf>
    <xf numFmtId="0" fontId="101" fillId="11" borderId="11" xfId="5" applyFont="1" applyFill="1" applyBorder="1" applyAlignment="1">
      <alignment horizontal="center" vertical="center"/>
    </xf>
    <xf numFmtId="0" fontId="101" fillId="13" borderId="2" xfId="5" applyFont="1" applyFill="1" applyBorder="1" applyAlignment="1">
      <alignment horizontal="center" vertical="center" wrapText="1"/>
    </xf>
    <xf numFmtId="0" fontId="101" fillId="13" borderId="78" xfId="5" applyFont="1" applyFill="1" applyBorder="1" applyAlignment="1">
      <alignment horizontal="center" vertical="center" wrapText="1"/>
    </xf>
    <xf numFmtId="0" fontId="101" fillId="13" borderId="14" xfId="5" applyFont="1" applyFill="1" applyBorder="1" applyAlignment="1">
      <alignment horizontal="center" vertical="center" wrapText="1"/>
    </xf>
    <xf numFmtId="0" fontId="101" fillId="13" borderId="7" xfId="5" applyFont="1" applyFill="1" applyBorder="1" applyAlignment="1">
      <alignment horizontal="center" vertical="center" wrapText="1"/>
    </xf>
    <xf numFmtId="0" fontId="7" fillId="6" borderId="18" xfId="3" applyNumberFormat="1" applyFont="1" applyFill="1" applyBorder="1" applyAlignment="1" applyProtection="1">
      <alignment horizontal="center" vertical="center" wrapText="1"/>
      <protection hidden="1"/>
    </xf>
    <xf numFmtId="0" fontId="7" fillId="6" borderId="19" xfId="3" applyNumberFormat="1" applyFont="1" applyFill="1" applyBorder="1" applyAlignment="1" applyProtection="1">
      <alignment horizontal="center" vertical="center" wrapText="1"/>
      <protection hidden="1"/>
    </xf>
    <xf numFmtId="0" fontId="7" fillId="6" borderId="72" xfId="3" applyNumberFormat="1" applyFont="1" applyFill="1" applyBorder="1" applyAlignment="1" applyProtection="1">
      <alignment horizontal="center" vertical="center" wrapText="1"/>
      <protection hidden="1"/>
    </xf>
    <xf numFmtId="0" fontId="31" fillId="12" borderId="14" xfId="5" applyFont="1" applyFill="1" applyBorder="1" applyAlignment="1">
      <alignment horizontal="center" vertical="center" wrapText="1"/>
    </xf>
    <xf numFmtId="0" fontId="31" fillId="12" borderId="15" xfId="5" applyFont="1" applyFill="1" applyBorder="1" applyAlignment="1">
      <alignment horizontal="center" vertical="center" wrapText="1"/>
    </xf>
    <xf numFmtId="0" fontId="31" fillId="12" borderId="7" xfId="5" applyFont="1" applyFill="1" applyBorder="1" applyAlignment="1">
      <alignment horizontal="center" vertical="center" wrapText="1"/>
    </xf>
    <xf numFmtId="0" fontId="30" fillId="11" borderId="14" xfId="0" applyFont="1" applyFill="1" applyBorder="1" applyAlignment="1">
      <alignment horizontal="center" vertical="center" wrapText="1"/>
    </xf>
    <xf numFmtId="0" fontId="30" fillId="11" borderId="15" xfId="0" applyFont="1" applyFill="1" applyBorder="1" applyAlignment="1">
      <alignment horizontal="center" vertical="center" wrapText="1"/>
    </xf>
    <xf numFmtId="0" fontId="30" fillId="11" borderId="7" xfId="0" applyFont="1" applyFill="1" applyBorder="1" applyAlignment="1">
      <alignment horizontal="center" vertical="center" wrapText="1"/>
    </xf>
    <xf numFmtId="0" fontId="31" fillId="12" borderId="14" xfId="5" applyFont="1" applyFill="1" applyBorder="1" applyAlignment="1">
      <alignment horizontal="left" vertical="center" wrapText="1"/>
    </xf>
    <xf numFmtId="0" fontId="31" fillId="12" borderId="15" xfId="5" applyFont="1" applyFill="1" applyBorder="1" applyAlignment="1">
      <alignment horizontal="left" vertical="center" wrapText="1"/>
    </xf>
    <xf numFmtId="0" fontId="31" fillId="12" borderId="14" xfId="0" applyFont="1" applyFill="1" applyBorder="1" applyAlignment="1">
      <alignment horizontal="left" vertical="center" wrapText="1"/>
    </xf>
    <xf numFmtId="0" fontId="31" fillId="12" borderId="15" xfId="0" applyFont="1" applyFill="1" applyBorder="1" applyAlignment="1">
      <alignment horizontal="left" vertical="center" wrapText="1"/>
    </xf>
    <xf numFmtId="0" fontId="31" fillId="12" borderId="7" xfId="0" applyFont="1" applyFill="1" applyBorder="1" applyAlignment="1">
      <alignment horizontal="left" vertical="center" wrapText="1"/>
    </xf>
    <xf numFmtId="0" fontId="4" fillId="0" borderId="0" xfId="0" applyFont="1" applyAlignment="1">
      <alignment horizontal="right" vertical="top" wrapText="1"/>
    </xf>
    <xf numFmtId="0" fontId="0" fillId="0" borderId="27"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14" fillId="0" borderId="0" xfId="0" applyFont="1" applyAlignment="1" applyProtection="1">
      <alignment horizontal="left" vertical="top" wrapText="1"/>
      <protection locked="0"/>
    </xf>
    <xf numFmtId="0" fontId="14" fillId="3" borderId="18" xfId="0" applyFont="1" applyFill="1" applyBorder="1" applyAlignment="1" applyProtection="1">
      <alignment horizontal="left" vertical="top" wrapText="1"/>
      <protection locked="0"/>
    </xf>
    <xf numFmtId="0" fontId="14" fillId="3" borderId="19" xfId="0" applyFont="1" applyFill="1" applyBorder="1" applyAlignment="1" applyProtection="1">
      <alignment horizontal="left" vertical="top" wrapText="1"/>
      <protection locked="0"/>
    </xf>
    <xf numFmtId="0" fontId="14" fillId="3" borderId="20" xfId="0" applyFont="1" applyFill="1" applyBorder="1" applyAlignment="1" applyProtection="1">
      <alignment horizontal="left" vertical="top" wrapText="1"/>
      <protection locked="0"/>
    </xf>
    <xf numFmtId="0" fontId="0" fillId="0" borderId="27" xfId="0" applyBorder="1" applyAlignment="1" applyProtection="1">
      <alignment horizontal="left" vertical="top"/>
      <protection hidden="1"/>
    </xf>
    <xf numFmtId="0" fontId="0" fillId="0" borderId="0" xfId="0" applyAlignment="1" applyProtection="1">
      <alignment horizontal="left" vertical="top"/>
      <protection hidden="1"/>
    </xf>
    <xf numFmtId="0" fontId="0" fillId="0" borderId="9" xfId="0" applyBorder="1" applyAlignment="1">
      <alignment vertical="top" wrapText="1"/>
    </xf>
    <xf numFmtId="0" fontId="0" fillId="0" borderId="0" xfId="0" applyAlignment="1">
      <alignment vertical="top" wrapText="1"/>
    </xf>
    <xf numFmtId="0" fontId="0" fillId="0" borderId="6" xfId="0" applyBorder="1" applyAlignment="1">
      <alignment vertical="top" wrapText="1"/>
    </xf>
    <xf numFmtId="0" fontId="4" fillId="0" borderId="9" xfId="0" applyFont="1" applyBorder="1" applyAlignment="1">
      <alignment vertical="top" wrapText="1"/>
    </xf>
    <xf numFmtId="0" fontId="4" fillId="0" borderId="0" xfId="0" applyFont="1" applyAlignment="1">
      <alignment vertical="top" wrapText="1"/>
    </xf>
    <xf numFmtId="0" fontId="4" fillId="0" borderId="6" xfId="0" applyFont="1" applyBorder="1" applyAlignment="1">
      <alignment vertical="top" wrapText="1"/>
    </xf>
    <xf numFmtId="0" fontId="3" fillId="0" borderId="10" xfId="0" applyFont="1" applyBorder="1" applyAlignment="1">
      <alignment vertical="top" wrapText="1"/>
    </xf>
    <xf numFmtId="0" fontId="3" fillId="0" borderId="11" xfId="0" applyFont="1" applyBorder="1" applyAlignment="1">
      <alignment vertical="top" wrapText="1"/>
    </xf>
    <xf numFmtId="0" fontId="3" fillId="0" borderId="8" xfId="0" applyFont="1" applyBorder="1" applyAlignment="1">
      <alignment vertical="top" wrapText="1"/>
    </xf>
    <xf numFmtId="0" fontId="3" fillId="0" borderId="2" xfId="0" applyFont="1" applyBorder="1" applyAlignment="1">
      <alignment vertical="top" wrapText="1"/>
    </xf>
    <xf numFmtId="0" fontId="3" fillId="0" borderId="3" xfId="0" applyFont="1" applyBorder="1" applyAlignment="1">
      <alignment vertical="top" wrapText="1"/>
    </xf>
    <xf numFmtId="0" fontId="3" fillId="0" borderId="4" xfId="0" applyFont="1" applyBorder="1" applyAlignment="1">
      <alignment vertical="top" wrapText="1"/>
    </xf>
    <xf numFmtId="0" fontId="4" fillId="0" borderId="2" xfId="0" applyFont="1" applyBorder="1" applyAlignment="1">
      <alignment vertical="top" wrapText="1"/>
    </xf>
    <xf numFmtId="0" fontId="4" fillId="0" borderId="3" xfId="0" applyFont="1" applyBorder="1" applyAlignment="1">
      <alignment vertical="top" wrapText="1"/>
    </xf>
    <xf numFmtId="0" fontId="4" fillId="0" borderId="4" xfId="0" applyFont="1" applyBorder="1" applyAlignment="1">
      <alignment vertical="top" wrapText="1"/>
    </xf>
    <xf numFmtId="0" fontId="3" fillId="0" borderId="9" xfId="0" applyFont="1" applyBorder="1" applyAlignment="1">
      <alignment vertical="top" wrapText="1"/>
    </xf>
    <xf numFmtId="0" fontId="3" fillId="0" borderId="0" xfId="0" applyFont="1" applyAlignment="1">
      <alignment vertical="top" wrapText="1"/>
    </xf>
    <xf numFmtId="0" fontId="3" fillId="0" borderId="6" xfId="0" applyFont="1" applyBorder="1" applyAlignment="1">
      <alignment vertical="top" wrapText="1"/>
    </xf>
    <xf numFmtId="0" fontId="6" fillId="0" borderId="10" xfId="0" applyFont="1" applyBorder="1" applyAlignment="1">
      <alignment vertical="top" wrapText="1"/>
    </xf>
    <xf numFmtId="0" fontId="6" fillId="0" borderId="11" xfId="0" applyFont="1" applyBorder="1" applyAlignment="1">
      <alignment vertical="top" wrapText="1"/>
    </xf>
    <xf numFmtId="0" fontId="6" fillId="0" borderId="8" xfId="0" applyFont="1" applyBorder="1" applyAlignment="1">
      <alignment vertical="top" wrapText="1"/>
    </xf>
    <xf numFmtId="0" fontId="4" fillId="0" borderId="1" xfId="0" applyFont="1" applyBorder="1" applyAlignment="1">
      <alignment vertical="top" wrapText="1"/>
    </xf>
    <xf numFmtId="0" fontId="4" fillId="0" borderId="5" xfId="0" applyFont="1" applyBorder="1" applyAlignment="1">
      <alignment vertical="top" wrapText="1"/>
    </xf>
    <xf numFmtId="0" fontId="4" fillId="0" borderId="13" xfId="0" applyFont="1" applyBorder="1" applyAlignment="1">
      <alignment vertical="top" wrapText="1"/>
    </xf>
    <xf numFmtId="0" fontId="4" fillId="0" borderId="14" xfId="0" applyFont="1" applyBorder="1" applyAlignment="1">
      <alignment vertical="top" wrapText="1"/>
    </xf>
    <xf numFmtId="0" fontId="4" fillId="0" borderId="15" xfId="0" applyFont="1" applyBorder="1" applyAlignment="1">
      <alignment vertical="top" wrapText="1"/>
    </xf>
    <xf numFmtId="0" fontId="4" fillId="0" borderId="7" xfId="0" applyFont="1" applyBorder="1" applyAlignment="1">
      <alignment vertical="top" wrapText="1"/>
    </xf>
    <xf numFmtId="9" fontId="8" fillId="3" borderId="14" xfId="0" applyNumberFormat="1" applyFont="1" applyFill="1" applyBorder="1" applyAlignment="1" applyProtection="1">
      <alignment horizontal="left" vertical="center" wrapText="1"/>
      <protection locked="0"/>
    </xf>
    <xf numFmtId="9" fontId="8" fillId="3" borderId="7" xfId="0" applyNumberFormat="1" applyFont="1" applyFill="1" applyBorder="1" applyAlignment="1" applyProtection="1">
      <alignment horizontal="left" vertical="center" wrapText="1"/>
      <protection locked="0"/>
    </xf>
    <xf numFmtId="9" fontId="8" fillId="3" borderId="9" xfId="0" applyNumberFormat="1" applyFont="1" applyFill="1" applyBorder="1" applyAlignment="1" applyProtection="1">
      <alignment horizontal="left" vertical="center" wrapText="1"/>
      <protection locked="0"/>
    </xf>
    <xf numFmtId="9" fontId="8" fillId="3" borderId="6" xfId="0" applyNumberFormat="1" applyFont="1" applyFill="1" applyBorder="1" applyAlignment="1" applyProtection="1">
      <alignment horizontal="left" vertical="center" wrapText="1"/>
      <protection locked="0"/>
    </xf>
    <xf numFmtId="0" fontId="12" fillId="0" borderId="14" xfId="0" applyFont="1" applyBorder="1" applyAlignment="1">
      <alignment vertical="top" wrapText="1"/>
    </xf>
    <xf numFmtId="0" fontId="12" fillId="0" borderId="15" xfId="0" applyFont="1" applyBorder="1" applyAlignment="1">
      <alignment vertical="top" wrapText="1"/>
    </xf>
    <xf numFmtId="0" fontId="12" fillId="0" borderId="7" xfId="0" applyFont="1" applyBorder="1" applyAlignment="1">
      <alignment vertical="top" wrapText="1"/>
    </xf>
    <xf numFmtId="0" fontId="4" fillId="0" borderId="10" xfId="0" applyFont="1" applyBorder="1" applyAlignment="1">
      <alignment vertical="top" wrapText="1"/>
    </xf>
    <xf numFmtId="0" fontId="4" fillId="0" borderId="11" xfId="0" applyFont="1" applyBorder="1" applyAlignment="1">
      <alignment vertical="top" wrapText="1"/>
    </xf>
    <xf numFmtId="0" fontId="4" fillId="0" borderId="8" xfId="0" applyFont="1" applyBorder="1" applyAlignment="1">
      <alignment vertical="top" wrapText="1"/>
    </xf>
    <xf numFmtId="0" fontId="3" fillId="3" borderId="16" xfId="0" applyFont="1" applyFill="1" applyBorder="1" applyAlignment="1" applyProtection="1">
      <alignment horizontal="center" vertical="top" wrapText="1"/>
      <protection locked="0"/>
    </xf>
    <xf numFmtId="0" fontId="8" fillId="0" borderId="2" xfId="0" applyFont="1" applyBorder="1" applyAlignment="1">
      <alignment horizontal="center" vertical="center" wrapText="1"/>
    </xf>
    <xf numFmtId="0" fontId="8" fillId="0" borderId="4" xfId="0" applyFont="1" applyBorder="1" applyAlignment="1">
      <alignment horizontal="center" vertical="center" wrapText="1"/>
    </xf>
    <xf numFmtId="9" fontId="4" fillId="4" borderId="14" xfId="0" applyNumberFormat="1" applyFont="1" applyFill="1" applyBorder="1" applyAlignment="1">
      <alignment horizontal="right" vertical="top"/>
    </xf>
    <xf numFmtId="9" fontId="4" fillId="4" borderId="7" xfId="0" applyNumberFormat="1" applyFont="1" applyFill="1" applyBorder="1" applyAlignment="1">
      <alignment horizontal="right" vertical="top"/>
    </xf>
    <xf numFmtId="9" fontId="3" fillId="0" borderId="2" xfId="0" applyNumberFormat="1" applyFont="1" applyBorder="1" applyAlignment="1">
      <alignment vertical="top" wrapText="1"/>
    </xf>
    <xf numFmtId="9" fontId="3" fillId="0" borderId="3" xfId="0" applyNumberFormat="1" applyFont="1" applyBorder="1" applyAlignment="1">
      <alignment vertical="top" wrapText="1"/>
    </xf>
    <xf numFmtId="9" fontId="3" fillId="0" borderId="4" xfId="0" applyNumberFormat="1" applyFont="1" applyBorder="1" applyAlignment="1">
      <alignment vertical="top" wrapText="1"/>
    </xf>
    <xf numFmtId="0" fontId="4" fillId="0" borderId="1" xfId="0" applyFont="1" applyBorder="1" applyAlignment="1">
      <alignment horizontal="left" vertical="top" wrapText="1"/>
    </xf>
    <xf numFmtId="0" fontId="4" fillId="0" borderId="5" xfId="0" applyFont="1" applyBorder="1" applyAlignment="1">
      <alignment horizontal="left" vertical="top" wrapText="1"/>
    </xf>
    <xf numFmtId="0" fontId="4" fillId="0" borderId="13" xfId="0" applyFont="1" applyBorder="1" applyAlignment="1">
      <alignment horizontal="left" vertical="top" wrapText="1"/>
    </xf>
    <xf numFmtId="0" fontId="9" fillId="0" borderId="9" xfId="0" applyFont="1" applyBorder="1" applyAlignment="1">
      <alignment vertical="top" wrapText="1"/>
    </xf>
    <xf numFmtId="0" fontId="9" fillId="0" borderId="0" xfId="0" applyFont="1" applyAlignment="1">
      <alignment vertical="top" wrapText="1"/>
    </xf>
    <xf numFmtId="0" fontId="9" fillId="0" borderId="6" xfId="0" applyFont="1" applyBorder="1" applyAlignment="1">
      <alignment vertical="top" wrapText="1"/>
    </xf>
    <xf numFmtId="0" fontId="4" fillId="0" borderId="1" xfId="0" applyFont="1" applyBorder="1" applyAlignment="1">
      <alignment vertical="center" wrapText="1"/>
    </xf>
    <xf numFmtId="0" fontId="4" fillId="0" borderId="5" xfId="0" applyFont="1" applyBorder="1" applyAlignment="1">
      <alignment vertical="center" wrapText="1"/>
    </xf>
    <xf numFmtId="0" fontId="4" fillId="0" borderId="13" xfId="0" applyFont="1" applyBorder="1" applyAlignment="1">
      <alignment vertical="center" wrapText="1"/>
    </xf>
    <xf numFmtId="0" fontId="12" fillId="0" borderId="14" xfId="0" applyFont="1" applyBorder="1" applyAlignment="1">
      <alignment vertical="center" wrapText="1"/>
    </xf>
    <xf numFmtId="0" fontId="12" fillId="0" borderId="15" xfId="0" applyFont="1" applyBorder="1" applyAlignment="1">
      <alignment vertical="center" wrapText="1"/>
    </xf>
    <xf numFmtId="0" fontId="12" fillId="0" borderId="7" xfId="0" applyFont="1" applyBorder="1" applyAlignment="1">
      <alignment vertical="center" wrapText="1"/>
    </xf>
    <xf numFmtId="0" fontId="4" fillId="0" borderId="2" xfId="0" applyFont="1" applyBorder="1" applyAlignment="1">
      <alignment vertical="center" wrapText="1"/>
    </xf>
    <xf numFmtId="0" fontId="4" fillId="0" borderId="3" xfId="0" applyFont="1" applyBorder="1" applyAlignment="1">
      <alignment vertical="center" wrapText="1"/>
    </xf>
    <xf numFmtId="0" fontId="4" fillId="0" borderId="4" xfId="0" applyFont="1" applyBorder="1" applyAlignment="1">
      <alignment vertical="center" wrapText="1"/>
    </xf>
    <xf numFmtId="0" fontId="4" fillId="0" borderId="10" xfId="0" applyFont="1" applyBorder="1" applyAlignment="1">
      <alignment vertical="center" wrapText="1"/>
    </xf>
    <xf numFmtId="0" fontId="4" fillId="0" borderId="11" xfId="0" applyFont="1" applyBorder="1" applyAlignment="1">
      <alignment vertical="center" wrapText="1"/>
    </xf>
    <xf numFmtId="0" fontId="4" fillId="0" borderId="8" xfId="0" applyFont="1" applyBorder="1" applyAlignment="1">
      <alignment vertical="center" wrapText="1"/>
    </xf>
    <xf numFmtId="0" fontId="4" fillId="0" borderId="14" xfId="0" applyFont="1" applyBorder="1" applyAlignment="1">
      <alignment vertical="center" wrapText="1"/>
    </xf>
    <xf numFmtId="0" fontId="4" fillId="0" borderId="15" xfId="0" applyFont="1" applyBorder="1" applyAlignment="1">
      <alignment vertical="center" wrapText="1"/>
    </xf>
    <xf numFmtId="0" fontId="4" fillId="0" borderId="7" xfId="0" applyFont="1" applyBorder="1" applyAlignment="1">
      <alignment vertical="center" wrapText="1"/>
    </xf>
    <xf numFmtId="0" fontId="0" fillId="0" borderId="9" xfId="0" applyBorder="1" applyAlignment="1">
      <alignment vertical="center" wrapText="1"/>
    </xf>
    <xf numFmtId="0" fontId="0" fillId="0" borderId="0" xfId="0" applyAlignment="1">
      <alignment vertical="center" wrapText="1"/>
    </xf>
    <xf numFmtId="0" fontId="0" fillId="0" borderId="6" xfId="0" applyBorder="1" applyAlignment="1">
      <alignment vertical="center" wrapText="1"/>
    </xf>
    <xf numFmtId="0" fontId="4" fillId="0" borderId="9" xfId="0" applyFont="1" applyBorder="1" applyAlignment="1">
      <alignment vertical="center" wrapText="1"/>
    </xf>
    <xf numFmtId="0" fontId="4" fillId="0" borderId="0" xfId="0" applyFont="1" applyAlignment="1">
      <alignment vertical="center" wrapText="1"/>
    </xf>
    <xf numFmtId="0" fontId="4" fillId="0" borderId="6" xfId="0" applyFont="1" applyBorder="1" applyAlignment="1">
      <alignment vertical="center" wrapText="1"/>
    </xf>
    <xf numFmtId="0" fontId="3" fillId="0" borderId="2" xfId="0" applyFont="1" applyBorder="1" applyAlignment="1">
      <alignment vertical="center" wrapText="1"/>
    </xf>
    <xf numFmtId="0" fontId="3" fillId="0" borderId="3" xfId="0" applyFont="1" applyBorder="1" applyAlignment="1">
      <alignment vertical="center" wrapText="1"/>
    </xf>
    <xf numFmtId="0" fontId="3" fillId="0" borderId="4" xfId="0" applyFont="1" applyBorder="1" applyAlignment="1">
      <alignment vertical="center" wrapText="1"/>
    </xf>
    <xf numFmtId="0" fontId="3" fillId="0" borderId="9" xfId="0" applyFont="1" applyBorder="1" applyAlignment="1">
      <alignment vertical="center" wrapText="1"/>
    </xf>
    <xf numFmtId="0" fontId="3" fillId="0" borderId="0" xfId="0" applyFont="1" applyAlignment="1">
      <alignment vertical="center" wrapText="1"/>
    </xf>
    <xf numFmtId="0" fontId="3" fillId="0" borderId="6" xfId="0" applyFont="1" applyBorder="1" applyAlignment="1">
      <alignment vertical="center" wrapText="1"/>
    </xf>
    <xf numFmtId="0" fontId="4" fillId="0" borderId="0" xfId="0" applyFont="1" applyAlignment="1">
      <alignment horizontal="right" vertical="center" wrapText="1"/>
    </xf>
    <xf numFmtId="0" fontId="0" fillId="0" borderId="66" xfId="0" applyBorder="1" applyAlignment="1" applyProtection="1">
      <alignment horizontal="left" vertical="center"/>
      <protection hidden="1"/>
    </xf>
    <xf numFmtId="0" fontId="0" fillId="0" borderId="3" xfId="0" applyBorder="1" applyAlignment="1" applyProtection="1">
      <alignment horizontal="left" vertical="center"/>
      <protection hidden="1"/>
    </xf>
    <xf numFmtId="0" fontId="0" fillId="0" borderId="4" xfId="0" applyBorder="1" applyAlignment="1" applyProtection="1">
      <alignment horizontal="left" vertical="center"/>
      <protection hidden="1"/>
    </xf>
    <xf numFmtId="0" fontId="0" fillId="0" borderId="27" xfId="0" applyBorder="1" applyAlignment="1" applyProtection="1">
      <alignment horizontal="left" vertical="center" wrapText="1"/>
      <protection locked="0"/>
    </xf>
    <xf numFmtId="0" fontId="0" fillId="0" borderId="0" xfId="0" applyAlignment="1" applyProtection="1">
      <alignment horizontal="left" vertical="center" wrapText="1"/>
      <protection locked="0"/>
    </xf>
    <xf numFmtId="0" fontId="0" fillId="0" borderId="6" xfId="0" applyBorder="1" applyAlignment="1" applyProtection="1">
      <alignment horizontal="left" vertical="center" wrapText="1"/>
      <protection locked="0"/>
    </xf>
    <xf numFmtId="0" fontId="14" fillId="0" borderId="14" xfId="0" applyFont="1" applyBorder="1" applyAlignment="1" applyProtection="1">
      <alignment horizontal="left" vertical="top" wrapText="1"/>
      <protection locked="0"/>
    </xf>
    <xf numFmtId="0" fontId="14" fillId="0" borderId="15" xfId="0" applyFont="1" applyBorder="1" applyAlignment="1" applyProtection="1">
      <alignment horizontal="left" vertical="top" wrapText="1"/>
      <protection locked="0"/>
    </xf>
    <xf numFmtId="0" fontId="14" fillId="0" borderId="7" xfId="0" applyFont="1" applyBorder="1" applyAlignment="1" applyProtection="1">
      <alignment horizontal="left" vertical="top" wrapText="1"/>
      <protection locked="0"/>
    </xf>
    <xf numFmtId="0" fontId="14" fillId="3" borderId="10" xfId="0" applyFont="1" applyFill="1" applyBorder="1" applyAlignment="1" applyProtection="1">
      <alignment horizontal="left" vertical="center" wrapText="1"/>
      <protection locked="0"/>
    </xf>
    <xf numFmtId="0" fontId="14" fillId="3" borderId="11" xfId="0" applyFont="1" applyFill="1" applyBorder="1" applyAlignment="1" applyProtection="1">
      <alignment horizontal="left" vertical="center" wrapText="1"/>
      <protection locked="0"/>
    </xf>
    <xf numFmtId="0" fontId="14" fillId="3" borderId="68" xfId="0" applyFont="1" applyFill="1" applyBorder="1" applyAlignment="1" applyProtection="1">
      <alignment horizontal="left" vertical="center" wrapText="1"/>
      <protection locked="0"/>
    </xf>
    <xf numFmtId="0" fontId="3" fillId="3" borderId="18" xfId="0" applyFont="1" applyFill="1" applyBorder="1" applyAlignment="1" applyProtection="1">
      <alignment horizontal="center" vertical="top" wrapText="1"/>
      <protection locked="0"/>
    </xf>
    <xf numFmtId="0" fontId="3" fillId="3" borderId="19" xfId="0" applyFont="1" applyFill="1" applyBorder="1" applyAlignment="1" applyProtection="1">
      <alignment horizontal="center" vertical="top" wrapText="1"/>
      <protection locked="0"/>
    </xf>
    <xf numFmtId="0" fontId="3" fillId="3" borderId="20" xfId="0" applyFont="1" applyFill="1" applyBorder="1" applyAlignment="1" applyProtection="1">
      <alignment horizontal="center" vertical="top" wrapText="1"/>
      <protection locked="0"/>
    </xf>
    <xf numFmtId="0" fontId="3" fillId="3" borderId="2" xfId="0" applyFont="1" applyFill="1" applyBorder="1" applyAlignment="1" applyProtection="1">
      <alignment horizontal="center" vertical="top" wrapText="1"/>
      <protection locked="0"/>
    </xf>
    <xf numFmtId="0" fontId="3" fillId="3" borderId="3" xfId="0" applyFont="1" applyFill="1" applyBorder="1" applyAlignment="1" applyProtection="1">
      <alignment horizontal="center" vertical="top" wrapText="1"/>
      <protection locked="0"/>
    </xf>
    <xf numFmtId="0" fontId="3" fillId="3" borderId="4" xfId="0" applyFont="1" applyFill="1" applyBorder="1" applyAlignment="1" applyProtection="1">
      <alignment horizontal="center" vertical="top" wrapText="1"/>
      <protection locked="0"/>
    </xf>
    <xf numFmtId="0" fontId="3" fillId="3" borderId="10" xfId="0" applyFont="1" applyFill="1" applyBorder="1" applyAlignment="1" applyProtection="1">
      <alignment horizontal="center" vertical="top" wrapText="1"/>
      <protection locked="0"/>
    </xf>
    <xf numFmtId="0" fontId="3" fillId="3" borderId="11" xfId="0" applyFont="1" applyFill="1" applyBorder="1" applyAlignment="1" applyProtection="1">
      <alignment horizontal="center" vertical="top" wrapText="1"/>
      <protection locked="0"/>
    </xf>
    <xf numFmtId="0" fontId="3" fillId="3" borderId="8" xfId="0" applyFont="1" applyFill="1" applyBorder="1" applyAlignment="1" applyProtection="1">
      <alignment horizontal="center" vertical="top" wrapText="1"/>
      <protection locked="0"/>
    </xf>
    <xf numFmtId="0" fontId="3" fillId="3" borderId="9" xfId="0" applyFont="1" applyFill="1" applyBorder="1" applyAlignment="1" applyProtection="1">
      <alignment horizontal="center" vertical="top" wrapText="1"/>
      <protection locked="0"/>
    </xf>
    <xf numFmtId="0" fontId="3" fillId="3" borderId="0" xfId="0" applyFont="1" applyFill="1" applyAlignment="1" applyProtection="1">
      <alignment horizontal="center" vertical="top" wrapText="1"/>
      <protection locked="0"/>
    </xf>
    <xf numFmtId="17" fontId="4" fillId="0" borderId="14" xfId="0" applyNumberFormat="1" applyFont="1" applyBorder="1" applyAlignment="1">
      <alignment vertical="top" wrapText="1"/>
    </xf>
    <xf numFmtId="17" fontId="4" fillId="0" borderId="15" xfId="0" applyNumberFormat="1" applyFont="1" applyBorder="1" applyAlignment="1">
      <alignment vertical="top" wrapText="1"/>
    </xf>
    <xf numFmtId="17" fontId="4" fillId="0" borderId="7" xfId="0" applyNumberFormat="1" applyFont="1" applyBorder="1" applyAlignment="1">
      <alignment vertical="top" wrapText="1"/>
    </xf>
    <xf numFmtId="0" fontId="3" fillId="0" borderId="14" xfId="0" applyFont="1" applyBorder="1" applyAlignment="1">
      <alignment vertical="top" wrapText="1"/>
    </xf>
    <xf numFmtId="0" fontId="3" fillId="0" borderId="7" xfId="0" applyFont="1" applyBorder="1" applyAlignment="1">
      <alignment vertical="top" wrapText="1"/>
    </xf>
    <xf numFmtId="0" fontId="4" fillId="5" borderId="14" xfId="0" applyFont="1" applyFill="1" applyBorder="1" applyAlignment="1" applyProtection="1">
      <alignment vertical="top" wrapText="1"/>
      <protection locked="0"/>
    </xf>
    <xf numFmtId="0" fontId="4" fillId="5" borderId="7" xfId="0" applyFont="1" applyFill="1" applyBorder="1" applyAlignment="1" applyProtection="1">
      <alignment vertical="top" wrapText="1"/>
      <protection locked="0"/>
    </xf>
    <xf numFmtId="0" fontId="4" fillId="3" borderId="14" xfId="0" applyFont="1" applyFill="1" applyBorder="1" applyAlignment="1" applyProtection="1">
      <alignment vertical="top"/>
      <protection locked="0"/>
    </xf>
    <xf numFmtId="0" fontId="4" fillId="3" borderId="7" xfId="0" applyFont="1" applyFill="1" applyBorder="1" applyAlignment="1" applyProtection="1">
      <alignment vertical="top"/>
      <protection locked="0"/>
    </xf>
    <xf numFmtId="0" fontId="17" fillId="3" borderId="14" xfId="2" applyFill="1" applyBorder="1" applyAlignment="1" applyProtection="1">
      <alignment vertical="top" wrapText="1"/>
      <protection locked="0"/>
    </xf>
    <xf numFmtId="0" fontId="4" fillId="3" borderId="7" xfId="0" applyFont="1" applyFill="1" applyBorder="1" applyAlignment="1" applyProtection="1">
      <alignment vertical="top" wrapText="1"/>
      <protection locked="0"/>
    </xf>
    <xf numFmtId="0" fontId="4" fillId="3" borderId="14" xfId="0" applyFont="1" applyFill="1" applyBorder="1" applyAlignment="1" applyProtection="1">
      <alignment vertical="top" wrapText="1"/>
      <protection locked="0"/>
    </xf>
    <xf numFmtId="0" fontId="4" fillId="0" borderId="2"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7" fillId="3" borderId="14" xfId="0" applyFont="1" applyFill="1" applyBorder="1" applyAlignment="1">
      <alignment horizontal="left" vertical="center" wrapText="1"/>
    </xf>
    <xf numFmtId="0" fontId="7" fillId="3" borderId="7" xfId="0" applyFont="1" applyFill="1" applyBorder="1" applyAlignment="1">
      <alignment horizontal="left" vertical="center" wrapText="1"/>
    </xf>
    <xf numFmtId="0" fontId="4" fillId="3" borderId="14" xfId="0" applyFont="1" applyFill="1" applyBorder="1" applyAlignment="1" applyProtection="1">
      <alignment horizontal="left" vertical="center" wrapText="1"/>
      <protection locked="0"/>
    </xf>
    <xf numFmtId="0" fontId="4" fillId="3" borderId="7" xfId="0" applyFont="1" applyFill="1" applyBorder="1" applyAlignment="1" applyProtection="1">
      <alignment horizontal="left" vertical="center" wrapText="1"/>
      <protection locked="0"/>
    </xf>
    <xf numFmtId="9" fontId="4" fillId="3" borderId="10" xfId="3" applyFont="1" applyFill="1" applyBorder="1" applyAlignment="1" applyProtection="1">
      <alignment horizontal="center" vertical="top"/>
      <protection locked="0"/>
    </xf>
    <xf numFmtId="9" fontId="4" fillId="3" borderId="8" xfId="3" applyFont="1" applyFill="1" applyBorder="1" applyAlignment="1" applyProtection="1">
      <alignment horizontal="center" vertical="top"/>
      <protection locked="0"/>
    </xf>
    <xf numFmtId="0" fontId="14" fillId="0" borderId="0" xfId="0" applyFont="1" applyAlignment="1" applyProtection="1">
      <alignment horizontal="left" vertical="center" wrapText="1"/>
      <protection locked="0"/>
    </xf>
    <xf numFmtId="0" fontId="4" fillId="0" borderId="29" xfId="0" applyFont="1" applyBorder="1" applyAlignment="1">
      <alignment horizontal="left" vertical="top" wrapText="1"/>
    </xf>
    <xf numFmtId="0" fontId="4" fillId="0" borderId="4" xfId="0" applyFont="1" applyBorder="1" applyAlignment="1">
      <alignment horizontal="center" vertical="top" wrapText="1"/>
    </xf>
    <xf numFmtId="0" fontId="4" fillId="0" borderId="8" xfId="0" applyFont="1" applyBorder="1" applyAlignment="1">
      <alignment horizontal="center" vertical="top" wrapText="1"/>
    </xf>
    <xf numFmtId="0" fontId="4" fillId="0" borderId="1" xfId="0" applyFont="1" applyBorder="1" applyAlignment="1">
      <alignment horizontal="center" vertical="top"/>
    </xf>
    <xf numFmtId="0" fontId="4" fillId="0" borderId="13" xfId="0" applyFont="1" applyBorder="1" applyAlignment="1">
      <alignment horizontal="center" vertical="top"/>
    </xf>
    <xf numFmtId="0" fontId="3" fillId="3" borderId="14" xfId="0" applyFont="1" applyFill="1" applyBorder="1" applyAlignment="1" applyProtection="1">
      <alignment horizontal="center" vertical="top" wrapText="1"/>
      <protection locked="0"/>
    </xf>
    <xf numFmtId="0" fontId="3" fillId="3" borderId="15" xfId="0" applyFont="1" applyFill="1" applyBorder="1" applyAlignment="1" applyProtection="1">
      <alignment horizontal="center" vertical="top" wrapText="1"/>
      <protection locked="0"/>
    </xf>
    <xf numFmtId="0" fontId="3" fillId="3" borderId="7" xfId="0" applyFont="1" applyFill="1" applyBorder="1" applyAlignment="1" applyProtection="1">
      <alignment horizontal="center" vertical="top" wrapText="1"/>
      <protection locked="0"/>
    </xf>
    <xf numFmtId="0" fontId="4" fillId="0" borderId="2" xfId="0" applyFont="1" applyBorder="1" applyAlignment="1">
      <alignment horizontal="center" vertical="top" wrapText="1"/>
    </xf>
    <xf numFmtId="0" fontId="4" fillId="0" borderId="10" xfId="0" applyFont="1" applyBorder="1" applyAlignment="1">
      <alignment horizontal="center" vertical="top" wrapText="1"/>
    </xf>
    <xf numFmtId="0" fontId="4" fillId="3" borderId="14" xfId="0" applyFont="1" applyFill="1" applyBorder="1" applyAlignment="1" applyProtection="1">
      <alignment horizontal="left" vertical="top" wrapText="1"/>
      <protection locked="0"/>
    </xf>
    <xf numFmtId="0" fontId="4" fillId="3" borderId="7" xfId="0" applyFont="1" applyFill="1" applyBorder="1" applyAlignment="1" applyProtection="1">
      <alignment horizontal="left" vertical="top" wrapText="1"/>
      <protection locked="0"/>
    </xf>
    <xf numFmtId="0" fontId="4" fillId="0" borderId="1" xfId="0" applyFont="1" applyBorder="1" applyAlignment="1">
      <alignment horizontal="center" vertical="top" wrapText="1"/>
    </xf>
    <xf numFmtId="0" fontId="4" fillId="0" borderId="13" xfId="0" applyFont="1" applyBorder="1" applyAlignment="1">
      <alignment horizontal="center" vertical="top" wrapText="1"/>
    </xf>
    <xf numFmtId="0" fontId="27" fillId="0" borderId="9" xfId="0" applyFont="1" applyBorder="1" applyAlignment="1">
      <alignment vertical="top" wrapText="1"/>
    </xf>
    <xf numFmtId="0" fontId="27" fillId="0" borderId="0" xfId="0" applyFont="1" applyAlignment="1">
      <alignment vertical="top" wrapText="1"/>
    </xf>
    <xf numFmtId="0" fontId="27" fillId="0" borderId="6" xfId="0" applyFont="1" applyBorder="1" applyAlignment="1">
      <alignment vertical="top" wrapText="1"/>
    </xf>
    <xf numFmtId="0" fontId="14" fillId="3" borderId="2" xfId="0" applyFont="1" applyFill="1" applyBorder="1" applyAlignment="1">
      <alignment horizontal="left" vertical="center" wrapText="1"/>
    </xf>
    <xf numFmtId="0" fontId="14" fillId="3" borderId="15" xfId="0" applyFont="1" applyFill="1" applyBorder="1" applyAlignment="1">
      <alignment horizontal="left" vertical="center" wrapText="1"/>
    </xf>
    <xf numFmtId="0" fontId="14" fillId="3" borderId="7" xfId="0" applyFont="1" applyFill="1" applyBorder="1" applyAlignment="1">
      <alignment horizontal="left" vertical="center" wrapText="1"/>
    </xf>
    <xf numFmtId="0" fontId="14" fillId="3" borderId="14" xfId="0" applyFont="1" applyFill="1" applyBorder="1" applyAlignment="1" applyProtection="1">
      <alignment horizontal="left" vertical="top" wrapText="1"/>
      <protection locked="0"/>
    </xf>
    <xf numFmtId="0" fontId="14" fillId="3" borderId="15" xfId="0" applyFont="1" applyFill="1" applyBorder="1" applyAlignment="1" applyProtection="1">
      <alignment horizontal="left" vertical="top" wrapText="1"/>
      <protection locked="0"/>
    </xf>
    <xf numFmtId="0" fontId="14" fillId="3" borderId="7" xfId="0" applyFont="1" applyFill="1" applyBorder="1" applyAlignment="1" applyProtection="1">
      <alignment horizontal="left" vertical="top" wrapText="1"/>
      <protection locked="0"/>
    </xf>
    <xf numFmtId="0" fontId="8" fillId="0" borderId="1" xfId="0" applyFont="1" applyBorder="1" applyAlignment="1">
      <alignment horizontal="center" vertical="top" wrapText="1"/>
    </xf>
    <xf numFmtId="0" fontId="8" fillId="0" borderId="13" xfId="0" applyFont="1" applyBorder="1" applyAlignment="1">
      <alignment horizontal="center" vertical="top" wrapText="1"/>
    </xf>
    <xf numFmtId="0" fontId="4" fillId="0" borderId="9" xfId="0" applyFont="1" applyBorder="1" applyAlignment="1">
      <alignment horizontal="left" vertical="top" wrapText="1"/>
    </xf>
    <xf numFmtId="0" fontId="4" fillId="0" borderId="0" xfId="0" applyFont="1" applyAlignment="1">
      <alignment horizontal="left" vertical="top" wrapText="1"/>
    </xf>
    <xf numFmtId="0" fontId="8" fillId="0" borderId="5" xfId="0" applyFont="1" applyBorder="1" applyAlignment="1">
      <alignment horizontal="center" vertical="top"/>
    </xf>
    <xf numFmtId="0" fontId="8" fillId="0" borderId="13" xfId="0" applyFont="1" applyBorder="1" applyAlignment="1">
      <alignment horizontal="center" vertical="top"/>
    </xf>
    <xf numFmtId="0" fontId="8" fillId="0" borderId="1" xfId="0" applyFont="1" applyBorder="1" applyAlignment="1">
      <alignment horizontal="center" vertical="top"/>
    </xf>
    <xf numFmtId="0" fontId="4" fillId="3" borderId="9" xfId="0" applyFont="1" applyFill="1" applyBorder="1" applyAlignment="1">
      <alignment horizontal="left" vertical="top" wrapText="1"/>
    </xf>
    <xf numFmtId="0" fontId="4" fillId="3" borderId="0" xfId="0" applyFont="1" applyFill="1" applyAlignment="1">
      <alignment horizontal="left" vertical="top" wrapText="1"/>
    </xf>
    <xf numFmtId="0" fontId="4" fillId="3" borderId="9" xfId="0" applyFont="1" applyFill="1" applyBorder="1" applyAlignment="1" applyProtection="1">
      <alignment horizontal="left" vertical="top" wrapText="1"/>
      <protection locked="0"/>
    </xf>
    <xf numFmtId="0" fontId="4" fillId="3" borderId="0" xfId="0" applyFont="1" applyFill="1" applyAlignment="1" applyProtection="1">
      <alignment horizontal="left" vertical="top" wrapText="1"/>
      <protection locked="0"/>
    </xf>
    <xf numFmtId="0" fontId="4" fillId="0" borderId="29" xfId="0" applyFont="1" applyBorder="1" applyAlignment="1">
      <alignment vertical="top" wrapText="1"/>
    </xf>
    <xf numFmtId="0" fontId="14" fillId="3" borderId="18" xfId="0" applyFont="1" applyFill="1" applyBorder="1" applyAlignment="1" applyProtection="1">
      <alignment horizontal="left" vertical="center" wrapText="1"/>
      <protection locked="0"/>
    </xf>
    <xf numFmtId="0" fontId="14" fillId="3" borderId="19" xfId="0" applyFont="1" applyFill="1" applyBorder="1" applyAlignment="1" applyProtection="1">
      <alignment horizontal="left" vertical="center" wrapText="1"/>
      <protection locked="0"/>
    </xf>
    <xf numFmtId="0" fontId="14" fillId="3" borderId="20" xfId="0" applyFont="1" applyFill="1" applyBorder="1" applyAlignment="1" applyProtection="1">
      <alignment horizontal="left" vertical="center" wrapText="1"/>
      <protection locked="0"/>
    </xf>
    <xf numFmtId="0" fontId="3" fillId="3" borderId="21" xfId="0" applyFont="1" applyFill="1" applyBorder="1" applyAlignment="1" applyProtection="1">
      <alignment horizontal="center" vertical="top" wrapText="1"/>
      <protection locked="0"/>
    </xf>
    <xf numFmtId="0" fontId="3" fillId="3" borderId="22" xfId="0" applyFont="1" applyFill="1" applyBorder="1" applyAlignment="1" applyProtection="1">
      <alignment horizontal="center" vertical="top" wrapText="1"/>
      <protection locked="0"/>
    </xf>
    <xf numFmtId="0" fontId="3" fillId="3" borderId="23" xfId="0" applyFont="1" applyFill="1" applyBorder="1" applyAlignment="1" applyProtection="1">
      <alignment horizontal="center" vertical="top" wrapText="1"/>
      <protection locked="0"/>
    </xf>
    <xf numFmtId="0" fontId="3" fillId="3" borderId="24" xfId="0" applyFont="1" applyFill="1" applyBorder="1" applyAlignment="1" applyProtection="1">
      <alignment horizontal="center" vertical="top" wrapText="1"/>
      <protection locked="0"/>
    </xf>
    <xf numFmtId="0" fontId="3" fillId="3" borderId="25" xfId="0" applyFont="1" applyFill="1" applyBorder="1" applyAlignment="1" applyProtection="1">
      <alignment horizontal="center" vertical="top" wrapText="1"/>
      <protection locked="0"/>
    </xf>
    <xf numFmtId="0" fontId="3" fillId="3" borderId="26" xfId="0" applyFont="1" applyFill="1" applyBorder="1" applyAlignment="1" applyProtection="1">
      <alignment horizontal="center" vertical="top" wrapText="1"/>
      <protection locked="0"/>
    </xf>
    <xf numFmtId="0" fontId="8" fillId="0" borderId="16" xfId="0" applyFont="1" applyBorder="1" applyAlignment="1">
      <alignment horizontal="center" vertical="top"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3" fillId="0" borderId="6" xfId="0" applyFont="1" applyBorder="1" applyAlignment="1">
      <alignment horizontal="left" vertical="center" wrapText="1"/>
    </xf>
    <xf numFmtId="0" fontId="4" fillId="0" borderId="8" xfId="0" applyFont="1" applyBorder="1" applyAlignment="1">
      <alignment horizontal="left" vertical="center" wrapText="1"/>
    </xf>
    <xf numFmtId="0" fontId="29" fillId="0" borderId="1" xfId="0" applyFont="1" applyBorder="1" applyAlignment="1">
      <alignment horizontal="center" vertical="center" wrapText="1"/>
    </xf>
    <xf numFmtId="0" fontId="29" fillId="0" borderId="13" xfId="0" applyFont="1" applyBorder="1" applyAlignment="1">
      <alignment horizontal="center" vertical="center" wrapText="1"/>
    </xf>
    <xf numFmtId="0" fontId="4" fillId="0" borderId="29" xfId="0" applyFont="1" applyBorder="1" applyAlignment="1">
      <alignment horizontal="center" vertical="top" wrapText="1"/>
    </xf>
    <xf numFmtId="0" fontId="4" fillId="0" borderId="5" xfId="0" applyFont="1" applyBorder="1" applyAlignment="1">
      <alignment horizontal="center" vertical="top" wrapText="1"/>
    </xf>
    <xf numFmtId="0" fontId="3" fillId="3" borderId="21" xfId="0" applyFont="1" applyFill="1" applyBorder="1" applyAlignment="1">
      <alignment horizontal="left" vertical="top" wrapText="1"/>
    </xf>
    <xf numFmtId="0" fontId="3" fillId="3" borderId="22" xfId="0" applyFont="1" applyFill="1" applyBorder="1" applyAlignment="1">
      <alignment horizontal="left" vertical="top" wrapText="1"/>
    </xf>
    <xf numFmtId="0" fontId="3" fillId="3" borderId="23" xfId="0" applyFont="1" applyFill="1" applyBorder="1" applyAlignment="1">
      <alignment horizontal="left" vertical="top" wrapText="1"/>
    </xf>
    <xf numFmtId="0" fontId="3" fillId="3" borderId="27" xfId="0" applyFont="1" applyFill="1" applyBorder="1" applyAlignment="1">
      <alignment horizontal="left" vertical="top" wrapText="1"/>
    </xf>
    <xf numFmtId="0" fontId="3" fillId="3" borderId="0" xfId="0" applyFont="1" applyFill="1" applyAlignment="1">
      <alignment horizontal="left" vertical="top" wrapText="1"/>
    </xf>
    <xf numFmtId="0" fontId="3" fillId="3" borderId="28" xfId="0" applyFont="1" applyFill="1" applyBorder="1" applyAlignment="1">
      <alignment horizontal="left" vertical="top" wrapText="1"/>
    </xf>
    <xf numFmtId="0" fontId="8" fillId="0" borderId="4" xfId="0" applyFont="1" applyBorder="1" applyAlignment="1">
      <alignment horizontal="center" vertical="top" wrapText="1"/>
    </xf>
    <xf numFmtId="0" fontId="8" fillId="0" borderId="8" xfId="0" applyFont="1" applyBorder="1" applyAlignment="1">
      <alignment horizontal="center" vertical="top" wrapText="1"/>
    </xf>
    <xf numFmtId="0" fontId="29" fillId="9" borderId="1" xfId="0" applyFont="1" applyFill="1" applyBorder="1" applyAlignment="1">
      <alignment horizontal="center" vertical="center" wrapText="1"/>
    </xf>
    <xf numFmtId="0" fontId="29" fillId="9" borderId="13" xfId="0" applyFont="1" applyFill="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3" xfId="0" applyFont="1" applyBorder="1" applyAlignment="1">
      <alignment horizontal="center" vertical="center" wrapText="1"/>
    </xf>
    <xf numFmtId="0" fontId="3" fillId="3" borderId="9" xfId="0" applyFont="1" applyFill="1" applyBorder="1" applyAlignment="1" applyProtection="1">
      <alignment horizontal="left" vertical="top" wrapText="1"/>
      <protection locked="0"/>
    </xf>
    <xf numFmtId="0" fontId="3" fillId="3" borderId="0" xfId="0" applyFont="1" applyFill="1" applyAlignment="1" applyProtection="1">
      <alignment horizontal="left" vertical="top" wrapText="1"/>
      <protection locked="0"/>
    </xf>
    <xf numFmtId="0" fontId="4" fillId="0" borderId="14" xfId="0" applyFont="1" applyBorder="1" applyAlignment="1">
      <alignment vertical="top"/>
    </xf>
    <xf numFmtId="0" fontId="4" fillId="0" borderId="15" xfId="0" applyFont="1" applyBorder="1" applyAlignment="1">
      <alignment horizontal="left" vertical="center"/>
    </xf>
    <xf numFmtId="0" fontId="4" fillId="0" borderId="7" xfId="0" applyFont="1" applyBorder="1" applyAlignment="1">
      <alignment horizontal="left" vertical="center"/>
    </xf>
    <xf numFmtId="0" fontId="4" fillId="0" borderId="14" xfId="0" applyFont="1" applyBorder="1" applyAlignment="1">
      <alignment horizontal="left" vertical="center"/>
    </xf>
    <xf numFmtId="0" fontId="4" fillId="0" borderId="15" xfId="0" applyFont="1" applyBorder="1" applyAlignment="1">
      <alignment horizontal="left" vertical="center" wrapText="1"/>
    </xf>
    <xf numFmtId="0" fontId="3" fillId="0" borderId="0" xfId="0" applyFont="1" applyAlignment="1">
      <alignment horizontal="left" vertical="center" wrapText="1"/>
    </xf>
    <xf numFmtId="0" fontId="4" fillId="0" borderId="0" xfId="0" applyFont="1" applyAlignment="1">
      <alignment horizontal="left" vertical="center" wrapText="1"/>
    </xf>
    <xf numFmtId="0" fontId="4" fillId="0" borderId="17" xfId="0" applyFont="1" applyBorder="1" applyAlignment="1">
      <alignment vertical="top" wrapText="1"/>
    </xf>
    <xf numFmtId="0" fontId="4" fillId="0" borderId="15" xfId="0" applyFont="1" applyBorder="1" applyAlignment="1">
      <alignment vertical="top"/>
    </xf>
    <xf numFmtId="0" fontId="4" fillId="0" borderId="7" xfId="0" applyFont="1" applyBorder="1" applyAlignment="1">
      <alignment vertical="top"/>
    </xf>
    <xf numFmtId="0" fontId="8" fillId="0" borderId="1" xfId="0" applyFont="1" applyBorder="1" applyAlignment="1">
      <alignment vertical="top" wrapText="1"/>
    </xf>
    <xf numFmtId="0" fontId="8" fillId="0" borderId="5" xfId="0" applyFont="1" applyBorder="1" applyAlignment="1">
      <alignment vertical="top" wrapText="1"/>
    </xf>
    <xf numFmtId="0" fontId="8" fillId="0" borderId="13" xfId="0" applyFont="1" applyBorder="1" applyAlignment="1">
      <alignment vertical="top" wrapText="1"/>
    </xf>
    <xf numFmtId="0" fontId="4" fillId="0" borderId="3" xfId="0" applyFont="1" applyBorder="1" applyAlignment="1">
      <alignment horizontal="left" vertical="center" wrapText="1"/>
    </xf>
    <xf numFmtId="0" fontId="4" fillId="3" borderId="1" xfId="0" applyFont="1" applyFill="1" applyBorder="1" applyAlignment="1" applyProtection="1">
      <alignment horizontal="center" vertical="center" wrapText="1"/>
      <protection locked="0"/>
    </xf>
    <xf numFmtId="0" fontId="4" fillId="3" borderId="13" xfId="0" applyFont="1" applyFill="1" applyBorder="1" applyAlignment="1" applyProtection="1">
      <alignment horizontal="center" vertical="center" wrapText="1"/>
      <protection locked="0"/>
    </xf>
    <xf numFmtId="3" fontId="8" fillId="3" borderId="1" xfId="0" applyNumberFormat="1" applyFont="1" applyFill="1" applyBorder="1" applyAlignment="1" applyProtection="1">
      <alignment horizontal="left" vertical="top" wrapText="1"/>
      <protection locked="0"/>
    </xf>
    <xf numFmtId="3" fontId="8" fillId="3" borderId="13" xfId="0" applyNumberFormat="1" applyFont="1" applyFill="1" applyBorder="1" applyAlignment="1" applyProtection="1">
      <alignment horizontal="left" vertical="top" wrapText="1"/>
      <protection locked="0"/>
    </xf>
    <xf numFmtId="169" fontId="4" fillId="3" borderId="1" xfId="0" applyNumberFormat="1" applyFont="1" applyFill="1" applyBorder="1" applyAlignment="1" applyProtection="1">
      <alignment horizontal="center" vertical="center" wrapText="1"/>
      <protection locked="0"/>
    </xf>
    <xf numFmtId="169" fontId="4" fillId="3" borderId="13" xfId="0" applyNumberFormat="1" applyFont="1" applyFill="1" applyBorder="1" applyAlignment="1" applyProtection="1">
      <alignment horizontal="center" vertical="center" wrapText="1"/>
      <protection locked="0"/>
    </xf>
    <xf numFmtId="169" fontId="7" fillId="3" borderId="1" xfId="0" applyNumberFormat="1" applyFont="1" applyFill="1" applyBorder="1" applyAlignment="1" applyProtection="1">
      <alignment horizontal="center" vertical="center" wrapText="1"/>
      <protection locked="0"/>
    </xf>
    <xf numFmtId="169" fontId="7" fillId="3" borderId="13" xfId="0" applyNumberFormat="1" applyFont="1" applyFill="1" applyBorder="1" applyAlignment="1" applyProtection="1">
      <alignment horizontal="center" vertical="center" wrapText="1"/>
      <protection locked="0"/>
    </xf>
    <xf numFmtId="0" fontId="57" fillId="0" borderId="1" xfId="0" applyFont="1" applyBorder="1" applyAlignment="1">
      <alignment horizontal="center" vertical="center" wrapText="1"/>
    </xf>
    <xf numFmtId="0" fontId="57" fillId="0" borderId="13" xfId="0" applyFont="1" applyBorder="1" applyAlignment="1">
      <alignment horizontal="center" vertical="center" wrapText="1"/>
    </xf>
    <xf numFmtId="0" fontId="58" fillId="9" borderId="1" xfId="0" applyFont="1" applyFill="1" applyBorder="1" applyAlignment="1">
      <alignment horizontal="center" vertical="center" wrapText="1"/>
    </xf>
    <xf numFmtId="0" fontId="58" fillId="9" borderId="13" xfId="0" applyFont="1" applyFill="1" applyBorder="1" applyAlignment="1">
      <alignment horizontal="center" vertical="center" wrapText="1"/>
    </xf>
    <xf numFmtId="0" fontId="58" fillId="0" borderId="1" xfId="0" applyFont="1" applyBorder="1" applyAlignment="1">
      <alignment horizontal="center" vertical="center" wrapText="1"/>
    </xf>
    <xf numFmtId="0" fontId="58" fillId="0" borderId="13" xfId="0" applyFont="1" applyBorder="1" applyAlignment="1">
      <alignment horizontal="center" vertical="center" wrapText="1"/>
    </xf>
    <xf numFmtId="0" fontId="57" fillId="0" borderId="14" xfId="0" applyFont="1" applyBorder="1" applyAlignment="1">
      <alignment horizontal="center" vertical="top" wrapText="1"/>
    </xf>
    <xf numFmtId="0" fontId="57" fillId="0" borderId="15" xfId="0" applyFont="1" applyBorder="1" applyAlignment="1">
      <alignment horizontal="center" vertical="top" wrapText="1"/>
    </xf>
    <xf numFmtId="0" fontId="57" fillId="0" borderId="7" xfId="0" applyFont="1" applyBorder="1" applyAlignment="1">
      <alignment horizontal="center" vertical="top" wrapText="1"/>
    </xf>
    <xf numFmtId="0" fontId="4" fillId="3" borderId="21" xfId="0" applyFont="1" applyFill="1" applyBorder="1" applyAlignment="1" applyProtection="1">
      <alignment horizontal="left" vertical="top" wrapText="1"/>
      <protection locked="0"/>
    </xf>
    <xf numFmtId="0" fontId="4" fillId="3" borderId="22" xfId="0" applyFont="1" applyFill="1" applyBorder="1" applyAlignment="1" applyProtection="1">
      <alignment horizontal="left" vertical="top" wrapText="1"/>
      <protection locked="0"/>
    </xf>
    <xf numFmtId="0" fontId="4" fillId="3" borderId="23" xfId="0" applyFont="1" applyFill="1" applyBorder="1" applyAlignment="1" applyProtection="1">
      <alignment horizontal="left" vertical="top" wrapText="1"/>
      <protection locked="0"/>
    </xf>
    <xf numFmtId="0" fontId="4" fillId="3" borderId="24" xfId="0" applyFont="1" applyFill="1" applyBorder="1" applyAlignment="1" applyProtection="1">
      <alignment horizontal="left" vertical="top" wrapText="1"/>
      <protection locked="0"/>
    </xf>
    <xf numFmtId="0" fontId="4" fillId="3" borderId="25" xfId="0" applyFont="1" applyFill="1" applyBorder="1" applyAlignment="1" applyProtection="1">
      <alignment horizontal="left" vertical="top" wrapText="1"/>
      <protection locked="0"/>
    </xf>
    <xf numFmtId="0" fontId="4" fillId="3" borderId="26" xfId="0" applyFont="1" applyFill="1" applyBorder="1" applyAlignment="1" applyProtection="1">
      <alignment horizontal="left" vertical="top" wrapText="1"/>
      <protection locked="0"/>
    </xf>
    <xf numFmtId="0" fontId="12" fillId="0" borderId="9" xfId="0" applyFont="1" applyBorder="1" applyAlignment="1">
      <alignment vertical="top" wrapText="1"/>
    </xf>
    <xf numFmtId="0" fontId="12" fillId="0" borderId="0" xfId="0" applyFont="1" applyAlignment="1">
      <alignment vertical="top" wrapText="1"/>
    </xf>
    <xf numFmtId="0" fontId="12" fillId="0" borderId="6" xfId="0" applyFont="1" applyBorder="1" applyAlignment="1">
      <alignment vertical="top" wrapText="1"/>
    </xf>
    <xf numFmtId="0" fontId="4" fillId="0" borderId="4" xfId="0" applyFont="1" applyBorder="1" applyAlignment="1">
      <alignment horizontal="center" vertical="center" wrapText="1"/>
    </xf>
    <xf numFmtId="0" fontId="4" fillId="0" borderId="8" xfId="0" applyFont="1" applyBorder="1" applyAlignment="1">
      <alignment horizontal="center" vertical="center" wrapText="1"/>
    </xf>
    <xf numFmtId="0" fontId="76" fillId="0" borderId="1" xfId="0" applyFont="1" applyBorder="1" applyAlignment="1">
      <alignment vertical="center" wrapText="1"/>
    </xf>
    <xf numFmtId="0" fontId="76" fillId="0" borderId="13" xfId="0" applyFont="1" applyBorder="1" applyAlignment="1">
      <alignment vertical="center" wrapText="1"/>
    </xf>
    <xf numFmtId="0" fontId="76" fillId="0" borderId="14" xfId="0" applyFont="1" applyBorder="1" applyAlignment="1">
      <alignment vertical="center" wrapText="1"/>
    </xf>
    <xf numFmtId="0" fontId="76" fillId="0" borderId="15" xfId="0" applyFont="1" applyBorder="1" applyAlignment="1">
      <alignment vertical="center" wrapText="1"/>
    </xf>
    <xf numFmtId="0" fontId="76" fillId="0" borderId="7" xfId="0" applyFont="1" applyBorder="1" applyAlignment="1">
      <alignment vertical="center" wrapText="1"/>
    </xf>
    <xf numFmtId="0" fontId="3" fillId="3" borderId="21" xfId="0" applyFont="1" applyFill="1" applyBorder="1" applyAlignment="1">
      <alignment horizontal="center" vertical="top" wrapText="1"/>
    </xf>
    <xf numFmtId="0" fontId="3" fillId="3" borderId="22" xfId="0" applyFont="1" applyFill="1" applyBorder="1" applyAlignment="1">
      <alignment horizontal="center" vertical="top" wrapText="1"/>
    </xf>
    <xf numFmtId="0" fontId="3" fillId="3" borderId="23" xfId="0" applyFont="1" applyFill="1" applyBorder="1" applyAlignment="1">
      <alignment horizontal="center" vertical="top" wrapText="1"/>
    </xf>
    <xf numFmtId="0" fontId="3" fillId="3" borderId="24" xfId="0" applyFont="1" applyFill="1" applyBorder="1" applyAlignment="1">
      <alignment horizontal="center" vertical="top" wrapText="1"/>
    </xf>
    <xf numFmtId="0" fontId="3" fillId="3" borderId="25" xfId="0" applyFont="1" applyFill="1" applyBorder="1" applyAlignment="1">
      <alignment horizontal="center" vertical="top" wrapText="1"/>
    </xf>
    <xf numFmtId="0" fontId="3" fillId="3" borderId="26" xfId="0" applyFont="1" applyFill="1" applyBorder="1" applyAlignment="1">
      <alignment horizontal="center" vertical="top" wrapText="1"/>
    </xf>
    <xf numFmtId="0" fontId="12" fillId="0" borderId="10" xfId="0" applyFont="1" applyBorder="1" applyAlignment="1">
      <alignment vertical="top" wrapText="1"/>
    </xf>
    <xf numFmtId="0" fontId="12" fillId="0" borderId="11" xfId="0" applyFont="1" applyBorder="1" applyAlignment="1">
      <alignment vertical="top" wrapText="1"/>
    </xf>
    <xf numFmtId="0" fontId="12" fillId="0" borderId="8" xfId="0" applyFont="1" applyBorder="1" applyAlignment="1">
      <alignment vertical="top" wrapText="1"/>
    </xf>
    <xf numFmtId="0" fontId="58" fillId="0" borderId="5" xfId="0" applyFont="1" applyBorder="1" applyAlignment="1">
      <alignment horizontal="center" vertical="center" wrapText="1"/>
    </xf>
    <xf numFmtId="0" fontId="29" fillId="0" borderId="14" xfId="0" applyFont="1" applyBorder="1" applyAlignment="1">
      <alignment horizontal="center" vertical="center" wrapText="1"/>
    </xf>
    <xf numFmtId="0" fontId="29" fillId="0" borderId="15" xfId="0" applyFont="1" applyBorder="1" applyAlignment="1">
      <alignment horizontal="center" vertical="center" wrapText="1"/>
    </xf>
    <xf numFmtId="0" fontId="29" fillId="0" borderId="7" xfId="0" applyFont="1" applyBorder="1" applyAlignment="1">
      <alignment horizontal="center" vertical="center" wrapText="1"/>
    </xf>
    <xf numFmtId="0" fontId="58" fillId="0" borderId="9" xfId="0" applyFont="1" applyBorder="1" applyAlignment="1">
      <alignment horizontal="center" vertical="center" wrapText="1"/>
    </xf>
    <xf numFmtId="0" fontId="4" fillId="0" borderId="6" xfId="0" applyFont="1" applyBorder="1" applyAlignment="1">
      <alignment horizontal="center" vertical="center" wrapText="1"/>
    </xf>
    <xf numFmtId="0" fontId="57" fillId="0" borderId="5" xfId="0" applyFont="1" applyBorder="1" applyAlignment="1">
      <alignment horizontal="center" vertical="center" wrapText="1"/>
    </xf>
    <xf numFmtId="0" fontId="3" fillId="0" borderId="1" xfId="0" applyFont="1" applyBorder="1" applyAlignment="1">
      <alignment vertical="top"/>
    </xf>
    <xf numFmtId="0" fontId="3" fillId="0" borderId="5" xfId="0" applyFont="1" applyBorder="1" applyAlignment="1">
      <alignment vertical="top"/>
    </xf>
    <xf numFmtId="0" fontId="3" fillId="0" borderId="13" xfId="0" applyFont="1" applyBorder="1" applyAlignment="1">
      <alignment vertical="top"/>
    </xf>
    <xf numFmtId="0" fontId="3" fillId="0" borderId="14" xfId="0" applyFont="1" applyBorder="1" applyAlignment="1">
      <alignment vertical="top"/>
    </xf>
    <xf numFmtId="0" fontId="3" fillId="0" borderId="7" xfId="0" applyFont="1" applyBorder="1" applyAlignment="1">
      <alignment vertical="top"/>
    </xf>
    <xf numFmtId="0" fontId="12" fillId="0" borderId="6" xfId="0" applyFont="1" applyBorder="1" applyAlignment="1">
      <alignment horizontal="left" vertical="center" wrapText="1"/>
    </xf>
    <xf numFmtId="0" fontId="3" fillId="0" borderId="8" xfId="0" applyFont="1" applyBorder="1" applyAlignment="1">
      <alignment horizontal="left" vertical="center" wrapText="1"/>
    </xf>
    <xf numFmtId="0" fontId="3" fillId="0" borderId="14"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7"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3"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7" xfId="0" applyFont="1" applyBorder="1" applyAlignment="1">
      <alignment horizontal="center" vertical="center" wrapText="1"/>
    </xf>
    <xf numFmtId="0" fontId="3" fillId="3" borderId="2" xfId="0" applyFont="1" applyFill="1" applyBorder="1" applyAlignment="1">
      <alignment horizontal="left" vertical="top" wrapText="1"/>
    </xf>
    <xf numFmtId="0" fontId="3" fillId="3" borderId="3" xfId="0" applyFont="1" applyFill="1" applyBorder="1" applyAlignment="1">
      <alignment horizontal="left" vertical="top" wrapText="1"/>
    </xf>
    <xf numFmtId="0" fontId="3" fillId="3" borderId="4" xfId="0" applyFont="1" applyFill="1" applyBorder="1" applyAlignment="1">
      <alignment horizontal="left" vertical="top" wrapText="1"/>
    </xf>
    <xf numFmtId="0" fontId="3" fillId="3" borderId="10" xfId="0" applyFont="1" applyFill="1" applyBorder="1" applyAlignment="1">
      <alignment horizontal="left" vertical="top" wrapText="1"/>
    </xf>
    <xf numFmtId="0" fontId="3" fillId="3" borderId="11" xfId="0" applyFont="1" applyFill="1" applyBorder="1" applyAlignment="1">
      <alignment horizontal="left" vertical="top" wrapText="1"/>
    </xf>
    <xf numFmtId="0" fontId="3" fillId="3" borderId="8" xfId="0" applyFont="1" applyFill="1" applyBorder="1" applyAlignment="1">
      <alignment horizontal="left" vertical="top" wrapText="1"/>
    </xf>
    <xf numFmtId="0" fontId="3" fillId="0" borderId="1" xfId="0" applyFont="1" applyBorder="1" applyAlignment="1">
      <alignment vertical="top" wrapText="1"/>
    </xf>
    <xf numFmtId="0" fontId="3" fillId="0" borderId="5" xfId="0" applyFont="1" applyBorder="1" applyAlignment="1">
      <alignment vertical="top" wrapText="1"/>
    </xf>
    <xf numFmtId="0" fontId="3" fillId="0" borderId="13" xfId="0" applyFont="1" applyBorder="1" applyAlignment="1">
      <alignment vertical="top" wrapText="1"/>
    </xf>
    <xf numFmtId="0" fontId="3" fillId="3" borderId="2" xfId="0" applyFont="1" applyFill="1" applyBorder="1" applyAlignment="1" applyProtection="1">
      <alignment horizontal="left" vertical="top" wrapText="1"/>
      <protection locked="0"/>
    </xf>
    <xf numFmtId="0" fontId="3" fillId="3" borderId="3" xfId="0" applyFont="1" applyFill="1" applyBorder="1" applyAlignment="1" applyProtection="1">
      <alignment horizontal="left" vertical="top" wrapText="1"/>
      <protection locked="0"/>
    </xf>
    <xf numFmtId="0" fontId="3" fillId="3" borderId="4" xfId="0" applyFont="1" applyFill="1" applyBorder="1" applyAlignment="1" applyProtection="1">
      <alignment horizontal="left" vertical="top" wrapText="1"/>
      <protection locked="0"/>
    </xf>
    <xf numFmtId="0" fontId="3" fillId="3" borderId="10" xfId="0" applyFont="1" applyFill="1" applyBorder="1" applyAlignment="1" applyProtection="1">
      <alignment horizontal="left" vertical="top" wrapText="1"/>
      <protection locked="0"/>
    </xf>
    <xf numFmtId="0" fontId="3" fillId="3" borderId="11" xfId="0" applyFont="1" applyFill="1" applyBorder="1" applyAlignment="1" applyProtection="1">
      <alignment horizontal="left" vertical="top" wrapText="1"/>
      <protection locked="0"/>
    </xf>
    <xf numFmtId="0" fontId="3" fillId="3" borderId="8" xfId="0" applyFont="1" applyFill="1" applyBorder="1" applyAlignment="1" applyProtection="1">
      <alignment horizontal="left" vertical="top" wrapText="1"/>
      <protection locked="0"/>
    </xf>
    <xf numFmtId="0" fontId="3" fillId="0" borderId="4" xfId="0" applyFont="1" applyBorder="1" applyAlignment="1">
      <alignment horizontal="center" vertical="top" wrapText="1"/>
    </xf>
    <xf numFmtId="0" fontId="3" fillId="0" borderId="6" xfId="0" applyFont="1" applyBorder="1" applyAlignment="1">
      <alignment horizontal="center" vertical="top" wrapText="1"/>
    </xf>
    <xf numFmtId="0" fontId="3" fillId="0" borderId="8" xfId="0" applyFont="1" applyBorder="1" applyAlignment="1">
      <alignment horizontal="center" vertical="top" wrapText="1"/>
    </xf>
    <xf numFmtId="0" fontId="27" fillId="0" borderId="10" xfId="0" applyFont="1" applyBorder="1" applyAlignment="1">
      <alignment vertical="top" wrapText="1"/>
    </xf>
    <xf numFmtId="0" fontId="27" fillId="0" borderId="11" xfId="0" applyFont="1" applyBorder="1" applyAlignment="1">
      <alignment vertical="top" wrapText="1"/>
    </xf>
    <xf numFmtId="0" fontId="27" fillId="0" borderId="8" xfId="0" applyFont="1" applyBorder="1" applyAlignment="1">
      <alignment vertical="top" wrapText="1"/>
    </xf>
    <xf numFmtId="0" fontId="3" fillId="3" borderId="14" xfId="0" applyFont="1" applyFill="1" applyBorder="1" applyAlignment="1" applyProtection="1">
      <alignment horizontal="left" vertical="top"/>
      <protection locked="0"/>
    </xf>
    <xf numFmtId="0" fontId="3" fillId="3" borderId="15" xfId="0" applyFont="1" applyFill="1" applyBorder="1" applyAlignment="1" applyProtection="1">
      <alignment horizontal="left" vertical="top"/>
      <protection locked="0"/>
    </xf>
    <xf numFmtId="0" fontId="3" fillId="3" borderId="7" xfId="0" applyFont="1" applyFill="1" applyBorder="1" applyAlignment="1" applyProtection="1">
      <alignment horizontal="left" vertical="top"/>
      <protection locked="0"/>
    </xf>
    <xf numFmtId="0" fontId="3" fillId="3" borderId="21" xfId="0" applyFont="1" applyFill="1" applyBorder="1" applyAlignment="1" applyProtection="1">
      <alignment horizontal="left" vertical="top" wrapText="1"/>
      <protection locked="0"/>
    </xf>
    <xf numFmtId="0" fontId="3" fillId="3" borderId="22" xfId="0" applyFont="1" applyFill="1" applyBorder="1" applyAlignment="1" applyProtection="1">
      <alignment horizontal="left" vertical="top" wrapText="1"/>
      <protection locked="0"/>
    </xf>
    <xf numFmtId="0" fontId="3" fillId="3" borderId="23" xfId="0" applyFont="1" applyFill="1" applyBorder="1" applyAlignment="1" applyProtection="1">
      <alignment horizontal="left" vertical="top" wrapText="1"/>
      <protection locked="0"/>
    </xf>
    <xf numFmtId="0" fontId="3" fillId="3" borderId="24" xfId="0" applyFont="1" applyFill="1" applyBorder="1" applyAlignment="1" applyProtection="1">
      <alignment horizontal="left" vertical="top" wrapText="1"/>
      <protection locked="0"/>
    </xf>
    <xf numFmtId="0" fontId="3" fillId="3" borderId="25" xfId="0" applyFont="1" applyFill="1" applyBorder="1" applyAlignment="1" applyProtection="1">
      <alignment horizontal="left" vertical="top" wrapText="1"/>
      <protection locked="0"/>
    </xf>
    <xf numFmtId="0" fontId="3" fillId="3" borderId="26" xfId="0" applyFont="1" applyFill="1" applyBorder="1" applyAlignment="1" applyProtection="1">
      <alignment horizontal="left" vertical="top" wrapText="1"/>
      <protection locked="0"/>
    </xf>
    <xf numFmtId="0" fontId="14" fillId="0" borderId="18" xfId="0" applyFont="1" applyBorder="1" applyAlignment="1" applyProtection="1">
      <alignment horizontal="left" vertical="top" wrapText="1"/>
      <protection locked="0"/>
    </xf>
    <xf numFmtId="0" fontId="14" fillId="0" borderId="19" xfId="0" applyFont="1" applyBorder="1" applyAlignment="1" applyProtection="1">
      <alignment horizontal="left" vertical="top" wrapText="1"/>
      <protection locked="0"/>
    </xf>
    <xf numFmtId="0" fontId="14" fillId="0" borderId="20" xfId="0" applyFont="1" applyBorder="1" applyAlignment="1" applyProtection="1">
      <alignment horizontal="left" vertical="top" wrapText="1"/>
      <protection locked="0"/>
    </xf>
    <xf numFmtId="0" fontId="4" fillId="0" borderId="14" xfId="0" applyFont="1" applyBorder="1" applyAlignment="1">
      <alignment horizontal="center" vertical="top" wrapText="1"/>
    </xf>
    <xf numFmtId="0" fontId="4" fillId="0" borderId="7" xfId="0" applyFont="1" applyBorder="1" applyAlignment="1">
      <alignment horizontal="center" vertical="top" wrapText="1"/>
    </xf>
    <xf numFmtId="0" fontId="4" fillId="3" borderId="10" xfId="0" applyFont="1" applyFill="1" applyBorder="1" applyAlignment="1" applyProtection="1">
      <alignment horizontal="left" vertical="center" wrapText="1"/>
      <protection locked="0"/>
    </xf>
    <xf numFmtId="0" fontId="4" fillId="3" borderId="8" xfId="0" applyFont="1" applyFill="1" applyBorder="1" applyAlignment="1" applyProtection="1">
      <alignment horizontal="left" vertical="center" wrapText="1"/>
      <protection locked="0"/>
    </xf>
    <xf numFmtId="0" fontId="4" fillId="3" borderId="10" xfId="0" applyFont="1" applyFill="1" applyBorder="1" applyAlignment="1" applyProtection="1">
      <alignment horizontal="left" vertical="top" wrapText="1"/>
      <protection locked="0"/>
    </xf>
    <xf numFmtId="0" fontId="4" fillId="3" borderId="8" xfId="0" applyFont="1" applyFill="1" applyBorder="1" applyAlignment="1" applyProtection="1">
      <alignment horizontal="left" vertical="top" wrapText="1"/>
      <protection locked="0"/>
    </xf>
    <xf numFmtId="0" fontId="12" fillId="0" borderId="0" xfId="0" applyFont="1" applyAlignment="1">
      <alignment horizontal="left" vertical="center" wrapText="1"/>
    </xf>
    <xf numFmtId="0" fontId="4" fillId="0" borderId="11" xfId="0" applyFont="1" applyBorder="1" applyAlignment="1">
      <alignment horizontal="left" vertical="center" wrapText="1"/>
    </xf>
    <xf numFmtId="0" fontId="4" fillId="0" borderId="4" xfId="0" applyFont="1" applyBorder="1" applyAlignment="1">
      <alignment vertical="top"/>
    </xf>
    <xf numFmtId="0" fontId="4" fillId="0" borderId="17" xfId="0" applyFont="1" applyBorder="1" applyAlignment="1">
      <alignment vertical="top"/>
    </xf>
    <xf numFmtId="0" fontId="4" fillId="3" borderId="15" xfId="0" applyFont="1" applyFill="1" applyBorder="1" applyAlignment="1" applyProtection="1">
      <alignment horizontal="left" vertical="top" wrapText="1"/>
      <protection locked="0"/>
    </xf>
    <xf numFmtId="0" fontId="56" fillId="27" borderId="9" xfId="0" applyFont="1" applyFill="1" applyBorder="1" applyAlignment="1">
      <alignment horizontal="center" wrapText="1"/>
    </xf>
    <xf numFmtId="0" fontId="56" fillId="27" borderId="6" xfId="0" applyFont="1" applyFill="1" applyBorder="1" applyAlignment="1">
      <alignment horizontal="center" wrapText="1"/>
    </xf>
    <xf numFmtId="0" fontId="4" fillId="3" borderId="10" xfId="0" applyFont="1" applyFill="1" applyBorder="1" applyAlignment="1" applyProtection="1">
      <alignment horizontal="center" vertical="center"/>
      <protection locked="0"/>
    </xf>
    <xf numFmtId="0" fontId="4" fillId="3" borderId="8" xfId="0" applyFont="1" applyFill="1" applyBorder="1" applyAlignment="1" applyProtection="1">
      <alignment horizontal="center" vertical="center"/>
      <protection locked="0"/>
    </xf>
    <xf numFmtId="0" fontId="4" fillId="3" borderId="10" xfId="0" applyFont="1" applyFill="1" applyBorder="1" applyAlignment="1" applyProtection="1">
      <alignment horizontal="center" vertical="center" wrapText="1"/>
      <protection locked="0"/>
    </xf>
    <xf numFmtId="0" fontId="4" fillId="3" borderId="8" xfId="0" applyFont="1" applyFill="1" applyBorder="1" applyAlignment="1" applyProtection="1">
      <alignment horizontal="center" vertical="center" wrapText="1"/>
      <protection locked="0"/>
    </xf>
    <xf numFmtId="0" fontId="4" fillId="0" borderId="2" xfId="0" applyFont="1" applyBorder="1" applyAlignment="1">
      <alignment horizontal="center" vertical="center" wrapText="1"/>
    </xf>
    <xf numFmtId="0" fontId="4" fillId="0" borderId="10" xfId="0" applyFont="1" applyBorder="1" applyAlignment="1">
      <alignment horizontal="center" vertical="center" wrapText="1"/>
    </xf>
    <xf numFmtId="0" fontId="78" fillId="0" borderId="1" xfId="0" applyFont="1" applyBorder="1" applyAlignment="1">
      <alignment horizontal="center" vertical="center" wrapText="1"/>
    </xf>
    <xf numFmtId="0" fontId="78" fillId="0" borderId="13" xfId="0" applyFont="1" applyBorder="1" applyAlignment="1">
      <alignment horizontal="center" vertical="center" wrapText="1"/>
    </xf>
    <xf numFmtId="0" fontId="78" fillId="0" borderId="14" xfId="0" applyFont="1" applyBorder="1" applyAlignment="1">
      <alignment horizontal="center" vertical="center" wrapText="1"/>
    </xf>
    <xf numFmtId="0" fontId="78" fillId="0" borderId="7" xfId="0" applyFont="1" applyBorder="1" applyAlignment="1">
      <alignment horizontal="center" vertical="center" wrapText="1"/>
    </xf>
    <xf numFmtId="0" fontId="78" fillId="0" borderId="15" xfId="0" applyFont="1" applyBorder="1" applyAlignment="1">
      <alignment horizontal="center" vertical="center" wrapText="1"/>
    </xf>
    <xf numFmtId="0" fontId="4" fillId="0" borderId="1" xfId="0" applyFont="1" applyBorder="1" applyAlignment="1" applyProtection="1">
      <alignment vertical="center" wrapText="1"/>
      <protection locked="0"/>
    </xf>
    <xf numFmtId="0" fontId="4" fillId="0" borderId="13" xfId="0" applyFont="1" applyBorder="1" applyAlignment="1" applyProtection="1">
      <alignment vertical="center" wrapText="1"/>
      <protection locked="0"/>
    </xf>
    <xf numFmtId="0" fontId="4" fillId="0" borderId="1" xfId="0" applyFont="1" applyBorder="1" applyAlignment="1">
      <alignment horizontal="center" vertical="center"/>
    </xf>
    <xf numFmtId="0" fontId="4" fillId="0" borderId="5" xfId="0" applyFont="1" applyBorder="1" applyAlignment="1">
      <alignment horizontal="center" vertical="center"/>
    </xf>
    <xf numFmtId="0" fontId="4" fillId="0" borderId="13" xfId="0" applyFont="1" applyBorder="1" applyAlignment="1">
      <alignment horizontal="center" vertical="center"/>
    </xf>
    <xf numFmtId="0" fontId="4" fillId="0" borderId="5" xfId="0" applyFont="1" applyBorder="1" applyAlignment="1" applyProtection="1">
      <alignment vertical="center" wrapText="1"/>
      <protection locked="0"/>
    </xf>
    <xf numFmtId="0" fontId="12" fillId="0" borderId="14" xfId="0" applyFont="1" applyBorder="1" applyAlignment="1" applyProtection="1">
      <alignment vertical="center" wrapText="1"/>
      <protection locked="0"/>
    </xf>
    <xf numFmtId="0" fontId="12" fillId="0" borderId="15" xfId="0" applyFont="1" applyBorder="1" applyAlignment="1" applyProtection="1">
      <alignment vertical="center" wrapText="1"/>
      <protection locked="0"/>
    </xf>
    <xf numFmtId="0" fontId="12" fillId="0" borderId="7" xfId="0" applyFont="1" applyBorder="1" applyAlignment="1" applyProtection="1">
      <alignment vertical="center" wrapText="1"/>
      <protection locked="0"/>
    </xf>
    <xf numFmtId="0" fontId="3" fillId="3" borderId="2" xfId="0" applyFont="1" applyFill="1" applyBorder="1" applyAlignment="1" applyProtection="1">
      <alignment horizontal="left" vertical="center" wrapText="1"/>
      <protection locked="0"/>
    </xf>
    <xf numFmtId="0" fontId="3" fillId="3" borderId="3" xfId="0" applyFont="1" applyFill="1" applyBorder="1" applyAlignment="1" applyProtection="1">
      <alignment horizontal="left" vertical="center" wrapText="1"/>
      <protection locked="0"/>
    </xf>
    <xf numFmtId="0" fontId="3" fillId="3" borderId="4" xfId="0" applyFont="1" applyFill="1" applyBorder="1" applyAlignment="1" applyProtection="1">
      <alignment horizontal="left" vertical="center" wrapText="1"/>
      <protection locked="0"/>
    </xf>
    <xf numFmtId="0" fontId="3" fillId="3" borderId="10" xfId="0" applyFont="1" applyFill="1" applyBorder="1" applyAlignment="1" applyProtection="1">
      <alignment horizontal="left" vertical="center" wrapText="1"/>
      <protection locked="0"/>
    </xf>
    <xf numFmtId="0" fontId="3" fillId="3" borderId="11" xfId="0" applyFont="1" applyFill="1" applyBorder="1" applyAlignment="1" applyProtection="1">
      <alignment horizontal="left" vertical="center" wrapText="1"/>
      <protection locked="0"/>
    </xf>
    <xf numFmtId="0" fontId="3" fillId="3" borderId="8" xfId="0" applyFont="1" applyFill="1" applyBorder="1" applyAlignment="1" applyProtection="1">
      <alignment horizontal="left" vertical="center" wrapText="1"/>
      <protection locked="0"/>
    </xf>
    <xf numFmtId="0" fontId="4" fillId="0" borderId="14" xfId="0" applyFont="1" applyBorder="1" applyAlignment="1">
      <alignment vertical="center"/>
    </xf>
    <xf numFmtId="0" fontId="4" fillId="0" borderId="7" xfId="0" applyFont="1" applyBorder="1" applyAlignment="1">
      <alignment vertical="center"/>
    </xf>
    <xf numFmtId="0" fontId="4" fillId="0" borderId="14" xfId="0" applyFont="1" applyBorder="1" applyAlignment="1" applyProtection="1">
      <alignment vertical="center" wrapText="1"/>
      <protection locked="0"/>
    </xf>
    <xf numFmtId="0" fontId="4" fillId="0" borderId="15" xfId="0" applyFont="1" applyBorder="1" applyAlignment="1" applyProtection="1">
      <alignment vertical="center" wrapText="1"/>
      <protection locked="0"/>
    </xf>
    <xf numFmtId="0" fontId="4" fillId="0" borderId="7" xfId="0" applyFont="1" applyBorder="1" applyAlignment="1" applyProtection="1">
      <alignment vertical="center" wrapText="1"/>
      <protection locked="0"/>
    </xf>
    <xf numFmtId="0" fontId="0" fillId="0" borderId="27" xfId="0" applyBorder="1" applyAlignment="1" applyProtection="1">
      <alignment horizontal="left" vertical="center"/>
      <protection hidden="1"/>
    </xf>
    <xf numFmtId="0" fontId="0" fillId="0" borderId="0" xfId="0" applyAlignment="1" applyProtection="1">
      <alignment horizontal="left" vertical="center"/>
      <protection hidden="1"/>
    </xf>
  </cellXfs>
  <cellStyles count="12">
    <cellStyle name="Bueno" xfId="1" builtinId="26"/>
    <cellStyle name="Hipervínculo" xfId="2" builtinId="8"/>
    <cellStyle name="Millares" xfId="4" builtinId="3"/>
    <cellStyle name="Millares [0] 2" xfId="6" xr:uid="{00000000-0005-0000-0000-000003000000}"/>
    <cellStyle name="Millares [0] 2 2" xfId="9" xr:uid="{00000000-0005-0000-0000-000004000000}"/>
    <cellStyle name="Millares 2" xfId="7" xr:uid="{00000000-0005-0000-0000-000005000000}"/>
    <cellStyle name="Millares 2 2" xfId="10" xr:uid="{00000000-0005-0000-0000-000006000000}"/>
    <cellStyle name="Millares 3" xfId="8" xr:uid="{00000000-0005-0000-0000-000007000000}"/>
    <cellStyle name="Moneda" xfId="11" builtinId="4"/>
    <cellStyle name="Normal" xfId="0" builtinId="0"/>
    <cellStyle name="Normal 2" xfId="5" xr:uid="{00000000-0005-0000-0000-000009000000}"/>
    <cellStyle name="Porcentaje" xfId="3" builtinId="5"/>
  </cellStyles>
  <dxfs count="12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FF00"/>
        </patternFill>
      </fill>
      <border>
        <left style="thin">
          <color auto="1"/>
        </left>
        <right style="thin">
          <color auto="1"/>
        </right>
        <top style="thin">
          <color auto="1"/>
        </top>
        <bottom style="thin">
          <color auto="1"/>
        </bottom>
      </border>
    </dxf>
    <dxf>
      <fill>
        <patternFill>
          <bgColor rgb="FFFF0000"/>
        </patternFill>
      </fill>
    </dxf>
    <dxf>
      <fill>
        <patternFill>
          <bgColor rgb="FFFFFF00"/>
        </patternFill>
      </fill>
      <border>
        <left style="thin">
          <color auto="1"/>
        </left>
        <right style="thin">
          <color auto="1"/>
        </right>
        <top style="thin">
          <color auto="1"/>
        </top>
        <bottom style="thin">
          <color auto="1"/>
        </bottom>
      </border>
    </dxf>
    <dxf>
      <fill>
        <patternFill>
          <bgColor rgb="FFFF0000"/>
        </patternFill>
      </fill>
    </dxf>
  </dxfs>
  <tableStyles count="0" defaultTableStyle="TableStyleMedium2" defaultPivotStyle="PivotStyleLight16"/>
  <colors>
    <mruColors>
      <color rgb="FF99FF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theme" Target="theme/theme1.xml"/><Relationship Id="rId50" Type="http://schemas.openxmlformats.org/officeDocument/2006/relationships/calcChain" Target="calcChain.xml"/><Relationship Id="rId55" Type="http://schemas.microsoft.com/office/2017/10/relationships/person" Target="persons/person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53" Type="http://schemas.microsoft.com/office/2017/10/relationships/person" Target="persons/person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8.xml"/><Relationship Id="rId52" Type="http://schemas.microsoft.com/office/2017/10/relationships/person" Target="persons/person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48" Type="http://schemas.openxmlformats.org/officeDocument/2006/relationships/styles" Target="styles.xml"/><Relationship Id="rId8" Type="http://schemas.openxmlformats.org/officeDocument/2006/relationships/worksheet" Target="worksheets/sheet8.xml"/><Relationship Id="rId51" Type="http://schemas.microsoft.com/office/2017/10/relationships/person" Target="persons/person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externalLink" Target="externalLinks/externalLink10.xml"/><Relationship Id="rId20" Type="http://schemas.openxmlformats.org/officeDocument/2006/relationships/worksheet" Target="worksheets/sheet20.xml"/><Relationship Id="rId41" Type="http://schemas.openxmlformats.org/officeDocument/2006/relationships/externalLink" Target="externalLinks/externalLink5.xml"/><Relationship Id="rId54"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s>
</file>

<file path=xl/diagrams/colors1.xml><?xml version="1.0" encoding="utf-8"?>
<dgm:colorsDef xmlns:dgm="http://schemas.openxmlformats.org/drawingml/2006/diagram" xmlns:a="http://schemas.openxmlformats.org/drawingml/2006/main" uniqueId="urn:microsoft.com/office/officeart/2005/8/colors/colorful5">
  <dgm:title val=""/>
  <dgm:desc val=""/>
  <dgm:catLst>
    <dgm:cat type="colorful" pri="10500"/>
  </dgm:catLst>
  <dgm:styleLbl name="node0">
    <dgm:fillClrLst meth="repeat">
      <a:schemeClr val="accent4"/>
    </dgm:fillClrLst>
    <dgm:linClrLst meth="repeat">
      <a:schemeClr val="lt1"/>
    </dgm:linClrLst>
    <dgm:effectClrLst/>
    <dgm:txLinClrLst/>
    <dgm:txFillClrLst/>
    <dgm:txEffectClrLst/>
  </dgm:styleLbl>
  <dgm:styleLbl name="node1">
    <dgm:fillClrLst>
      <a:schemeClr val="accent5"/>
      <a:schemeClr val="accent6"/>
    </dgm:fillClrLst>
    <dgm:linClrLst meth="repeat">
      <a:schemeClr val="lt1"/>
    </dgm:linClrLst>
    <dgm:effectClrLst/>
    <dgm:txLinClrLst/>
    <dgm:txFillClrLst/>
    <dgm:txEffectClrLst/>
  </dgm:styleLbl>
  <dgm:styleLbl name="alignNode1">
    <dgm:fillClrLst>
      <a:schemeClr val="accent5"/>
      <a:schemeClr val="accent6"/>
    </dgm:fillClrLst>
    <dgm:linClrLst>
      <a:schemeClr val="accent5"/>
      <a:schemeClr val="accent6"/>
    </dgm:linClrLst>
    <dgm:effectClrLst/>
    <dgm:txLinClrLst/>
    <dgm:txFillClrLst/>
    <dgm:txEffectClrLst/>
  </dgm:styleLbl>
  <dgm:styleLbl name="lnNode1">
    <dgm:fillClrLst>
      <a:schemeClr val="accent5"/>
      <a:schemeClr val="accent6"/>
    </dgm:fillClrLst>
    <dgm:linClrLst meth="repeat">
      <a:schemeClr val="lt1"/>
    </dgm:linClrLst>
    <dgm:effectClrLst/>
    <dgm:txLinClrLst/>
    <dgm:txFillClrLst/>
    <dgm:txEffectClrLst/>
  </dgm:styleLbl>
  <dgm:styleLbl name="vennNode1">
    <dgm:fillClrLst>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6"/>
    </dgm:fillClrLst>
    <dgm:linClrLst meth="repeat">
      <a:schemeClr val="lt1"/>
    </dgm:linClrLst>
    <dgm:effectClrLst/>
    <dgm:txLinClrLst/>
    <dgm:txFillClrLst/>
    <dgm:txEffectClrLst/>
  </dgm:styleLbl>
  <dgm:styleLbl name="node3">
    <dgm:fillClrLst>
      <a:schemeClr val="accent1"/>
    </dgm:fillClrLst>
    <dgm:linClrLst meth="repeat">
      <a:schemeClr val="lt1"/>
    </dgm:linClrLst>
    <dgm:effectClrLst/>
    <dgm:txLinClrLst/>
    <dgm:txFillClrLst/>
    <dgm:txEffectClrLst/>
  </dgm:styleLbl>
  <dgm:styleLbl name="node4">
    <dgm:fillClrLst>
      <a:schemeClr val="accent2"/>
    </dgm:fillClrLst>
    <dgm:linClrLst meth="repeat">
      <a:schemeClr val="lt1"/>
    </dgm:linClrLst>
    <dgm:effectClrLst/>
    <dgm:txLinClrLst/>
    <dgm:txFillClrLst/>
    <dgm:txEffectClrLst/>
  </dgm:styleLbl>
  <dgm:styleLbl name="fgImgPlace1">
    <dgm:fillClrLst>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5"/>
      <a:schemeClr val="accent6"/>
    </dgm:fillClrLst>
    <dgm:linClrLst meth="repeat">
      <a:schemeClr val="lt1"/>
    </dgm:linClrLst>
    <dgm:effectClrLst/>
    <dgm:txLinClrLst/>
    <dgm:txFillClrLst/>
    <dgm:txEffectClrLst/>
  </dgm:styleLbl>
  <dgm:styleLbl name="fgSibTrans2D1">
    <dgm:fillClrLst>
      <a:schemeClr val="accent5"/>
      <a:schemeClr val="accent6"/>
    </dgm:fillClrLst>
    <dgm:linClrLst meth="repeat">
      <a:schemeClr val="lt1"/>
    </dgm:linClrLst>
    <dgm:effectClrLst/>
    <dgm:txLinClrLst/>
    <dgm:txFillClrLst meth="repeat">
      <a:schemeClr val="lt1"/>
    </dgm:txFillClrLst>
    <dgm:txEffectClrLst/>
  </dgm:styleLbl>
  <dgm:styleLbl name="bgSibTrans2D1">
    <dgm:fillClrLst>
      <a:schemeClr val="accent5"/>
      <a:schemeClr val="accent6"/>
    </dgm:fillClrLst>
    <dgm:linClrLst meth="repeat">
      <a:schemeClr val="lt1"/>
    </dgm:linClrLst>
    <dgm:effectClrLst/>
    <dgm:txLinClrLst/>
    <dgm:txFillClrLst meth="repeat">
      <a:schemeClr val="lt1"/>
    </dgm:txFillClrLst>
    <dgm:txEffectClrLst/>
  </dgm:styleLbl>
  <dgm:styleLbl name="sibTrans1D1">
    <dgm:fillClrLst/>
    <dgm:linClrLst>
      <a:schemeClr val="accent5"/>
      <a:schemeClr val="accent6"/>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a:shade val="80000"/>
      </a:schemeClr>
    </dgm:linClrLst>
    <dgm:effectClrLst/>
    <dgm:txLinClrLst/>
    <dgm:txFillClrLst/>
    <dgm:txEffectClrLst/>
  </dgm:styleLbl>
  <dgm:styleLbl name="asst1">
    <dgm:fillClrLst meth="repeat">
      <a:schemeClr val="accent6"/>
    </dgm:fillClrLst>
    <dgm:linClrLst meth="repeat">
      <a:schemeClr val="lt1">
        <a:shade val="80000"/>
      </a:schemeClr>
    </dgm:linClrLst>
    <dgm:effectClrLst/>
    <dgm:txLinClrLst/>
    <dgm:txFillClrLst/>
    <dgm:txEffectClrLst/>
  </dgm:styleLbl>
  <dgm:styleLbl name="asst2">
    <dgm:fillClrLst>
      <a:schemeClr val="accent1"/>
    </dgm:fillClrLst>
    <dgm:linClrLst meth="repeat">
      <a:schemeClr val="lt1"/>
    </dgm:linClrLst>
    <dgm:effectClrLst/>
    <dgm:txLinClrLst/>
    <dgm:txFillClrLst/>
    <dgm:txEffectClrLst/>
  </dgm:styleLbl>
  <dgm:styleLbl name="asst3">
    <dgm:fillClrLst>
      <a:schemeClr val="accent2"/>
    </dgm:fillClrLst>
    <dgm:linClrLst meth="repeat">
      <a:schemeClr val="lt1"/>
    </dgm:linClrLst>
    <dgm:effectClrLst/>
    <dgm:txLinClrLst/>
    <dgm:txFillClrLst/>
    <dgm:txEffectClrLst/>
  </dgm:styleLbl>
  <dgm:styleLbl name="asst4">
    <dgm:fillClrLst>
      <a:schemeClr val="accent3"/>
    </dgm:fillClrLst>
    <dgm:linClrLst meth="repeat">
      <a:schemeClr val="lt1"/>
    </dgm:linClrLst>
    <dgm:effectClrLst/>
    <dgm:txLinClrLst/>
    <dgm:txFillClrLst/>
    <dgm:txEffectClrLst/>
  </dgm:styleLbl>
  <dgm:styleLbl name="parChTrans2D1">
    <dgm:fillClrLst meth="repeat">
      <a:schemeClr val="accent5"/>
    </dgm:fillClrLst>
    <dgm:linClrLst meth="repeat">
      <a:schemeClr val="lt1"/>
    </dgm:linClrLst>
    <dgm:effectClrLst/>
    <dgm:txLinClrLst/>
    <dgm:txFillClrLst meth="repeat">
      <a:schemeClr val="lt1"/>
    </dgm:txFillClrLst>
    <dgm:txEffectClrLst/>
  </dgm:styleLbl>
  <dgm:styleLbl name="parChTrans2D2">
    <dgm:fillClrLst meth="repeat">
      <a:schemeClr val="accent6"/>
    </dgm:fillClrLst>
    <dgm:linClrLst meth="repeat">
      <a:schemeClr val="lt1"/>
    </dgm:linClrLst>
    <dgm:effectClrLst/>
    <dgm:txLinClrLst/>
    <dgm:txFillClrLst/>
    <dgm:txEffectClrLst/>
  </dgm:styleLbl>
  <dgm:styleLbl name="parChTrans2D3">
    <dgm:fillClrLst meth="repeat">
      <a:schemeClr val="accent6"/>
    </dgm:fillClrLst>
    <dgm:linClrLst meth="repeat">
      <a:schemeClr val="lt1"/>
    </dgm:linClrLst>
    <dgm:effectClrLst/>
    <dgm:txLinClrLst/>
    <dgm:txFillClrLst/>
    <dgm:txEffectClrLst/>
  </dgm:styleLbl>
  <dgm:styleLbl name="parChTrans2D4">
    <dgm:fillClrLst meth="repeat">
      <a:schemeClr val="accent1"/>
    </dgm:fillClrLst>
    <dgm:linClrLst meth="repeat">
      <a:schemeClr val="lt1"/>
    </dgm:linClrLst>
    <dgm:effectClrLst/>
    <dgm:txLinClrLst/>
    <dgm:txFillClrLst meth="repeat">
      <a:schemeClr val="lt1"/>
    </dgm:txFillClrLst>
    <dgm:txEffectClrLst/>
  </dgm:styleLbl>
  <dgm:styleLbl name="parChTrans1D1">
    <dgm:fillClrLst meth="repeat">
      <a:schemeClr val="accent5"/>
    </dgm:fillClrLst>
    <dgm:linClrLst meth="repeat">
      <a:schemeClr val="accent5"/>
    </dgm:linClrLst>
    <dgm:effectClrLst/>
    <dgm:txLinClrLst/>
    <dgm:txFillClrLst meth="repeat">
      <a:schemeClr val="tx1"/>
    </dgm:txFillClrLst>
    <dgm:txEffectClrLst/>
  </dgm:styleLbl>
  <dgm:styleLbl name="parChTrans1D2">
    <dgm:fillClrLst meth="repeat">
      <a:schemeClr val="accent6">
        <a:tint val="90000"/>
      </a:schemeClr>
    </dgm:fillClrLst>
    <dgm:linClrLst meth="repeat">
      <a:schemeClr val="accent6"/>
    </dgm:linClrLst>
    <dgm:effectClrLst/>
    <dgm:txLinClrLst/>
    <dgm:txFillClrLst meth="repeat">
      <a:schemeClr val="tx1"/>
    </dgm:txFillClrLst>
    <dgm:txEffectClrLst/>
  </dgm:styleLbl>
  <dgm:styleLbl name="parChTrans1D3">
    <dgm:fillClrLst meth="repeat">
      <a:schemeClr val="accent6">
        <a:tint val="70000"/>
      </a:schemeClr>
    </dgm:fillClrLst>
    <dgm:linClrLst meth="repeat">
      <a:schemeClr val="accent1"/>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2"/>
    </dgm:linClrLst>
    <dgm:effectClrLst/>
    <dgm:txLinClrLst/>
    <dgm:txFillClrLst meth="repeat">
      <a:schemeClr val="tx1"/>
    </dgm:txFillClrLst>
    <dgm:txEffectClrLst/>
  </dgm:styleLbl>
  <dgm:styleLbl name="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solidFgAcc1">
    <dgm:fillClrLst meth="repeat">
      <a:schemeClr val="lt1"/>
    </dgm:fillClrLst>
    <dgm:linClrLst>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a:schemeClr val="accent5"/>
      <a:schemeClr val="accent6"/>
    </dgm:linClrLst>
    <dgm:effectClrLst/>
    <dgm:txLinClrLst/>
    <dgm:txFillClrLst meth="repeat">
      <a:schemeClr val="dk1"/>
    </dgm:txFillClrLst>
    <dgm:txEffectClrLst/>
  </dgm:styleLbl>
  <dgm:styleLbl name="solidBgAcc1">
    <dgm:fillClrLst meth="repeat">
      <a:schemeClr val="lt1"/>
    </dgm:fillClrLst>
    <dgm:linClrLst>
      <a:schemeClr val="accent5"/>
      <a:schemeClr val="accent6"/>
    </dgm:linClrLst>
    <dgm:effectClrLst/>
    <dgm:txLinClrLst/>
    <dgm:txFillClrLst meth="repeat">
      <a:schemeClr val="dk1"/>
    </dgm:txFillClrLst>
    <dgm:txEffectClrLst/>
  </dgm:styleLbl>
  <dgm:styleLbl name="fgAccFollowNode1">
    <dgm:fillClrLst>
      <a:schemeClr val="accent5">
        <a:tint val="40000"/>
        <a:alpha val="90000"/>
      </a:schemeClr>
      <a:schemeClr val="accent6">
        <a:tint val="40000"/>
        <a:alpha val="90000"/>
      </a:schemeClr>
    </dgm:fillClrLst>
    <dgm:linClrLst>
      <a:schemeClr val="accent5">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4"/>
    </dgm:linClrLst>
    <dgm:effectClrLst/>
    <dgm:txLinClrLst/>
    <dgm:txFillClrLst meth="repeat">
      <a:schemeClr val="dk1"/>
    </dgm:txFillClrLst>
    <dgm:txEffectClrLst/>
  </dgm:styleLbl>
  <dgm:styleLbl name="fgAcc2">
    <dgm:fillClrLst meth="repeat">
      <a:schemeClr val="lt1">
        <a:alpha val="90000"/>
      </a:schemeClr>
    </dgm:fillClrLst>
    <dgm:linClrLst>
      <a:schemeClr val="accent6"/>
    </dgm:linClrLst>
    <dgm:effectClrLst/>
    <dgm:txLinClrLst/>
    <dgm:txFillClrLst meth="repeat">
      <a:schemeClr val="dk1"/>
    </dgm:txFillClrLst>
    <dgm:txEffectClrLst/>
  </dgm:styleLbl>
  <dgm:styleLbl name="fgAcc3">
    <dgm:fillClrLst meth="repeat">
      <a:schemeClr val="lt1">
        <a:alpha val="90000"/>
      </a:schemeClr>
    </dgm:fillClrLst>
    <dgm:linClrLst>
      <a:schemeClr val="accent1"/>
    </dgm:linClrLst>
    <dgm:effectClrLst/>
    <dgm:txLinClrLst/>
    <dgm:txFillClrLst meth="repeat">
      <a:schemeClr val="dk1"/>
    </dgm:txFillClrLst>
    <dgm:txEffectClrLst/>
  </dgm:styleLbl>
  <dgm:styleLbl name="fgAcc4">
    <dgm:fillClrLst meth="repeat">
      <a:schemeClr val="lt1">
        <a:alpha val="90000"/>
      </a:schemeClr>
    </dgm:fillClrLst>
    <dgm:linClrLst>
      <a:schemeClr val="accent2"/>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5">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DCD48D7A-4B03-4423-8CB5-5C5D79405805}" type="doc">
      <dgm:prSet loTypeId="urn:microsoft.com/office/officeart/2005/8/layout/list1" loCatId="list" qsTypeId="urn:microsoft.com/office/officeart/2005/8/quickstyle/simple1" qsCatId="simple" csTypeId="urn:microsoft.com/office/officeart/2005/8/colors/colorful5" csCatId="colorful" phldr="1"/>
      <dgm:spPr/>
      <dgm:t>
        <a:bodyPr/>
        <a:lstStyle/>
        <a:p>
          <a:endParaRPr lang="es-CO"/>
        </a:p>
      </dgm:t>
    </dgm:pt>
    <dgm:pt modelId="{2CB7F8B1-2637-4408-9185-3A95A2E4D4D4}">
      <dgm:prSet phldrT="[Texto]" custT="1"/>
      <dgm:spPr/>
      <dgm:t>
        <a:bodyPr/>
        <a:lstStyle/>
        <a:p>
          <a:r>
            <a:rPr lang="es-CO" sz="900" b="1"/>
            <a:t>1. FASE DE PREPARACION</a:t>
          </a:r>
        </a:p>
      </dgm:t>
    </dgm:pt>
    <dgm:pt modelId="{64144A9E-10F1-4862-BFC7-09D5896ACB2E}" type="parTrans" cxnId="{DF270C1B-8DAC-4DC2-9C2B-404524166343}">
      <dgm:prSet/>
      <dgm:spPr/>
      <dgm:t>
        <a:bodyPr/>
        <a:lstStyle/>
        <a:p>
          <a:endParaRPr lang="es-CO" sz="2000"/>
        </a:p>
      </dgm:t>
    </dgm:pt>
    <dgm:pt modelId="{1E2C00AA-92AD-4DFD-ADBE-9EE00E1BF72B}" type="sibTrans" cxnId="{DF270C1B-8DAC-4DC2-9C2B-404524166343}">
      <dgm:prSet/>
      <dgm:spPr/>
      <dgm:t>
        <a:bodyPr/>
        <a:lstStyle/>
        <a:p>
          <a:endParaRPr lang="es-CO" sz="2000"/>
        </a:p>
      </dgm:t>
    </dgm:pt>
    <dgm:pt modelId="{8069E184-766F-4E8B-A1E8-51EDBCF8B787}">
      <dgm:prSet phldrT="[Texto]" custT="1"/>
      <dgm:spPr/>
      <dgm:t>
        <a:bodyPr/>
        <a:lstStyle/>
        <a:p>
          <a:r>
            <a:rPr lang="es-CO" sz="900" b="1"/>
            <a:t>2. FASE DE APRESTAMIENTO</a:t>
          </a:r>
        </a:p>
      </dgm:t>
    </dgm:pt>
    <dgm:pt modelId="{F64789F9-D1CE-4AFA-889E-41DC5016CFAB}" type="parTrans" cxnId="{A2827875-87B0-4C3D-9E40-622962BC691D}">
      <dgm:prSet/>
      <dgm:spPr/>
      <dgm:t>
        <a:bodyPr/>
        <a:lstStyle/>
        <a:p>
          <a:endParaRPr lang="es-CO" sz="2000"/>
        </a:p>
      </dgm:t>
    </dgm:pt>
    <dgm:pt modelId="{93F1D987-E557-4E03-8C29-D08B5E8AAD1B}" type="sibTrans" cxnId="{A2827875-87B0-4C3D-9E40-622962BC691D}">
      <dgm:prSet/>
      <dgm:spPr/>
      <dgm:t>
        <a:bodyPr/>
        <a:lstStyle/>
        <a:p>
          <a:endParaRPr lang="es-CO" sz="2000"/>
        </a:p>
      </dgm:t>
    </dgm:pt>
    <dgm:pt modelId="{717ECC8B-6813-4A27-9DC1-A0349E570257}">
      <dgm:prSet phldrT="[Texto]" custT="1"/>
      <dgm:spPr/>
      <dgm:t>
        <a:bodyPr/>
        <a:lstStyle/>
        <a:p>
          <a:r>
            <a:rPr lang="es-CO" sz="900" b="1"/>
            <a:t>3. FASE  LOGISTICA Y OPERATIVA</a:t>
          </a:r>
        </a:p>
      </dgm:t>
    </dgm:pt>
    <dgm:pt modelId="{D945DCAA-29DE-415E-9EC0-2EA9CDBA637F}" type="parTrans" cxnId="{48FD79B7-0A80-4168-B74D-E45585C648D8}">
      <dgm:prSet/>
      <dgm:spPr/>
      <dgm:t>
        <a:bodyPr/>
        <a:lstStyle/>
        <a:p>
          <a:endParaRPr lang="es-CO" sz="2000"/>
        </a:p>
      </dgm:t>
    </dgm:pt>
    <dgm:pt modelId="{60E19195-CF68-47DE-9785-66C048977208}" type="sibTrans" cxnId="{48FD79B7-0A80-4168-B74D-E45585C648D8}">
      <dgm:prSet/>
      <dgm:spPr/>
      <dgm:t>
        <a:bodyPr/>
        <a:lstStyle/>
        <a:p>
          <a:endParaRPr lang="es-CO" sz="2000"/>
        </a:p>
      </dgm:t>
    </dgm:pt>
    <dgm:pt modelId="{D49A736D-D090-4C3F-B7C8-90E12189F4E6}">
      <dgm:prSet custT="1"/>
      <dgm:spPr/>
      <dgm:t>
        <a:bodyPr/>
        <a:lstStyle/>
        <a:p>
          <a:r>
            <a:rPr lang="es-CO" sz="900"/>
            <a:t>Definición de la unidad objeto de ordenación forestal</a:t>
          </a:r>
        </a:p>
      </dgm:t>
    </dgm:pt>
    <dgm:pt modelId="{6CB8211D-3027-42B8-8E1D-7F7CC0C2C2AF}" type="parTrans" cxnId="{6E1DD283-6A02-4C7B-967E-43E4F2241590}">
      <dgm:prSet/>
      <dgm:spPr/>
      <dgm:t>
        <a:bodyPr/>
        <a:lstStyle/>
        <a:p>
          <a:endParaRPr lang="es-CO" sz="2000"/>
        </a:p>
      </dgm:t>
    </dgm:pt>
    <dgm:pt modelId="{085597EB-8A00-4F32-B9FE-6AE8F6AD66DB}" type="sibTrans" cxnId="{6E1DD283-6A02-4C7B-967E-43E4F2241590}">
      <dgm:prSet/>
      <dgm:spPr/>
      <dgm:t>
        <a:bodyPr/>
        <a:lstStyle/>
        <a:p>
          <a:endParaRPr lang="es-CO" sz="2000"/>
        </a:p>
      </dgm:t>
    </dgm:pt>
    <dgm:pt modelId="{789B5BC8-288B-4DDA-AB25-039F66BEA3B1}">
      <dgm:prSet custT="1"/>
      <dgm:spPr/>
      <dgm:t>
        <a:bodyPr/>
        <a:lstStyle/>
        <a:p>
          <a:r>
            <a:rPr lang="es-CO" sz="900"/>
            <a:t>Asignación de recursos</a:t>
          </a:r>
        </a:p>
      </dgm:t>
    </dgm:pt>
    <dgm:pt modelId="{20DF2F84-B159-462C-A073-B863B19CCFA9}" type="parTrans" cxnId="{A8694B9B-DC05-4BB0-A409-CBB61FB7F639}">
      <dgm:prSet/>
      <dgm:spPr/>
      <dgm:t>
        <a:bodyPr/>
        <a:lstStyle/>
        <a:p>
          <a:endParaRPr lang="es-CO" sz="2000"/>
        </a:p>
      </dgm:t>
    </dgm:pt>
    <dgm:pt modelId="{F75FF99A-F150-48D0-B60B-5CB30D5A0E5A}" type="sibTrans" cxnId="{A8694B9B-DC05-4BB0-A409-CBB61FB7F639}">
      <dgm:prSet/>
      <dgm:spPr/>
      <dgm:t>
        <a:bodyPr/>
        <a:lstStyle/>
        <a:p>
          <a:endParaRPr lang="es-CO" sz="2000"/>
        </a:p>
      </dgm:t>
    </dgm:pt>
    <dgm:pt modelId="{98B28FD7-1DA8-4B1D-A743-BD64C0AAE85A}">
      <dgm:prSet custT="1"/>
      <dgm:spPr/>
      <dgm:t>
        <a:bodyPr/>
        <a:lstStyle/>
        <a:p>
          <a:r>
            <a:rPr lang="es-CO" sz="900"/>
            <a:t>Inicio del proceso pre y contractual</a:t>
          </a:r>
        </a:p>
      </dgm:t>
    </dgm:pt>
    <dgm:pt modelId="{6A5ADD14-5B36-4C8F-9B65-6460DDCE482E}" type="parTrans" cxnId="{C57E6554-2260-4CA8-9E7D-8591D135E53F}">
      <dgm:prSet/>
      <dgm:spPr/>
      <dgm:t>
        <a:bodyPr/>
        <a:lstStyle/>
        <a:p>
          <a:endParaRPr lang="es-CO" sz="2000"/>
        </a:p>
      </dgm:t>
    </dgm:pt>
    <dgm:pt modelId="{55643889-0069-4635-8EFF-361433B6492D}" type="sibTrans" cxnId="{C57E6554-2260-4CA8-9E7D-8591D135E53F}">
      <dgm:prSet/>
      <dgm:spPr/>
      <dgm:t>
        <a:bodyPr/>
        <a:lstStyle/>
        <a:p>
          <a:endParaRPr lang="es-CO" sz="2000"/>
        </a:p>
      </dgm:t>
    </dgm:pt>
    <dgm:pt modelId="{4E33CAE3-BFA7-460A-ADA1-9740AF500CD1}">
      <dgm:prSet custT="1"/>
      <dgm:spPr/>
      <dgm:t>
        <a:bodyPr/>
        <a:lstStyle/>
        <a:p>
          <a:r>
            <a:rPr lang="es-CO" sz="900"/>
            <a:t>Consulta, validación y digitalización de información secundaria</a:t>
          </a:r>
        </a:p>
      </dgm:t>
    </dgm:pt>
    <dgm:pt modelId="{9DB4B8DC-C792-4F88-B9F0-3F8C466B68ED}" type="parTrans" cxnId="{3BF7423E-3DB0-4A87-A18C-2FC41867B2B4}">
      <dgm:prSet/>
      <dgm:spPr/>
      <dgm:t>
        <a:bodyPr/>
        <a:lstStyle/>
        <a:p>
          <a:endParaRPr lang="es-CO" sz="2000"/>
        </a:p>
      </dgm:t>
    </dgm:pt>
    <dgm:pt modelId="{4C4701A6-649F-4B75-8728-83D55A5A5663}" type="sibTrans" cxnId="{3BF7423E-3DB0-4A87-A18C-2FC41867B2B4}">
      <dgm:prSet/>
      <dgm:spPr/>
      <dgm:t>
        <a:bodyPr/>
        <a:lstStyle/>
        <a:p>
          <a:endParaRPr lang="es-CO" sz="2000"/>
        </a:p>
      </dgm:t>
    </dgm:pt>
    <dgm:pt modelId="{08ED7DEB-8B98-40A9-9699-ACCFB829DBE2}">
      <dgm:prSet custT="1"/>
      <dgm:spPr/>
      <dgm:t>
        <a:bodyPr/>
        <a:lstStyle/>
        <a:p>
          <a:r>
            <a:rPr lang="es-CO" sz="900"/>
            <a:t>Procesamiento e interpretación de imágenes satelitales</a:t>
          </a:r>
        </a:p>
      </dgm:t>
    </dgm:pt>
    <dgm:pt modelId="{C96799B1-BF4C-4F01-9A1B-8BF2A3D32A1B}" type="parTrans" cxnId="{9A2394D6-DEA8-457C-A7F6-0CA60D78D7EA}">
      <dgm:prSet/>
      <dgm:spPr/>
      <dgm:t>
        <a:bodyPr/>
        <a:lstStyle/>
        <a:p>
          <a:endParaRPr lang="es-CO" sz="2000"/>
        </a:p>
      </dgm:t>
    </dgm:pt>
    <dgm:pt modelId="{BC1C2EC9-649F-493C-B095-2F14FEE273F0}" type="sibTrans" cxnId="{9A2394D6-DEA8-457C-A7F6-0CA60D78D7EA}">
      <dgm:prSet/>
      <dgm:spPr/>
      <dgm:t>
        <a:bodyPr/>
        <a:lstStyle/>
        <a:p>
          <a:endParaRPr lang="es-CO" sz="2000"/>
        </a:p>
      </dgm:t>
    </dgm:pt>
    <dgm:pt modelId="{C8F6D009-A118-4555-A677-CBA61BF6F0D5}">
      <dgm:prSet custT="1"/>
      <dgm:spPr/>
      <dgm:t>
        <a:bodyPr/>
        <a:lstStyle/>
        <a:p>
          <a:r>
            <a:rPr lang="es-CO" sz="900"/>
            <a:t>Generación de información cartográfica preliminar</a:t>
          </a:r>
        </a:p>
      </dgm:t>
    </dgm:pt>
    <dgm:pt modelId="{C71E5930-069B-45A4-B7EB-02FF81630C0E}" type="parTrans" cxnId="{47FA276C-8AB9-4C50-93CB-3C240B93E4C4}">
      <dgm:prSet/>
      <dgm:spPr/>
      <dgm:t>
        <a:bodyPr/>
        <a:lstStyle/>
        <a:p>
          <a:endParaRPr lang="es-CO" sz="2000"/>
        </a:p>
      </dgm:t>
    </dgm:pt>
    <dgm:pt modelId="{EC10895F-10B2-42FD-BCC8-4993E1130164}" type="sibTrans" cxnId="{47FA276C-8AB9-4C50-93CB-3C240B93E4C4}">
      <dgm:prSet/>
      <dgm:spPr/>
      <dgm:t>
        <a:bodyPr/>
        <a:lstStyle/>
        <a:p>
          <a:endParaRPr lang="es-CO" sz="2000"/>
        </a:p>
      </dgm:t>
    </dgm:pt>
    <dgm:pt modelId="{FFA71FF0-2ACD-4163-B043-1EB367B6C2B1}">
      <dgm:prSet custT="1"/>
      <dgm:spPr/>
      <dgm:t>
        <a:bodyPr/>
        <a:lstStyle/>
        <a:p>
          <a:r>
            <a:rPr lang="es-CO" sz="900"/>
            <a:t>Definición de metodología para levantamiento de información primaria</a:t>
          </a:r>
        </a:p>
      </dgm:t>
    </dgm:pt>
    <dgm:pt modelId="{201802FC-6167-42F1-933E-394845600453}" type="parTrans" cxnId="{478F5893-B289-4B36-A04A-A02DEA40ACC3}">
      <dgm:prSet/>
      <dgm:spPr/>
      <dgm:t>
        <a:bodyPr/>
        <a:lstStyle/>
        <a:p>
          <a:endParaRPr lang="es-CO" sz="2000"/>
        </a:p>
      </dgm:t>
    </dgm:pt>
    <dgm:pt modelId="{B39A6FB6-B160-47AD-A274-EF0DD243C32D}" type="sibTrans" cxnId="{478F5893-B289-4B36-A04A-A02DEA40ACC3}">
      <dgm:prSet/>
      <dgm:spPr/>
      <dgm:t>
        <a:bodyPr/>
        <a:lstStyle/>
        <a:p>
          <a:endParaRPr lang="es-CO" sz="2000"/>
        </a:p>
      </dgm:t>
    </dgm:pt>
    <dgm:pt modelId="{90932CD4-98AF-4D20-B3A5-3F4217DAB33C}">
      <dgm:prSet custT="1"/>
      <dgm:spPr/>
      <dgm:t>
        <a:bodyPr/>
        <a:lstStyle/>
        <a:p>
          <a:r>
            <a:rPr lang="es-CO" sz="900"/>
            <a:t>Socialización y acuerdos con actores regionales y locales</a:t>
          </a:r>
        </a:p>
      </dgm:t>
    </dgm:pt>
    <dgm:pt modelId="{D4A14047-4231-4EAE-82B4-884A078437F6}" type="parTrans" cxnId="{86FF9304-A88E-4E74-AECB-FD793CD64EBE}">
      <dgm:prSet/>
      <dgm:spPr/>
      <dgm:t>
        <a:bodyPr/>
        <a:lstStyle/>
        <a:p>
          <a:endParaRPr lang="es-CO" sz="2000"/>
        </a:p>
      </dgm:t>
    </dgm:pt>
    <dgm:pt modelId="{678DBBEA-15F8-4CEC-BE62-3B0B23BED2F8}" type="sibTrans" cxnId="{86FF9304-A88E-4E74-AECB-FD793CD64EBE}">
      <dgm:prSet/>
      <dgm:spPr/>
      <dgm:t>
        <a:bodyPr/>
        <a:lstStyle/>
        <a:p>
          <a:endParaRPr lang="es-CO" sz="2000"/>
        </a:p>
      </dgm:t>
    </dgm:pt>
    <dgm:pt modelId="{D67F9A5A-5E88-44A1-939C-135CE3AF4041}">
      <dgm:prSet phldrT="[Texto]" custT="1"/>
      <dgm:spPr/>
      <dgm:t>
        <a:bodyPr/>
        <a:lstStyle/>
        <a:p>
          <a:r>
            <a:rPr lang="es-CO" sz="900" b="1"/>
            <a:t>4. FASE DE OFICINA</a:t>
          </a:r>
        </a:p>
      </dgm:t>
    </dgm:pt>
    <dgm:pt modelId="{147BBB2B-EBFD-43A6-B289-2DA32B306280}" type="parTrans" cxnId="{E56EA914-32FC-4F01-AE21-F02AF3BAD451}">
      <dgm:prSet/>
      <dgm:spPr/>
      <dgm:t>
        <a:bodyPr/>
        <a:lstStyle/>
        <a:p>
          <a:endParaRPr lang="es-CO" sz="2000"/>
        </a:p>
      </dgm:t>
    </dgm:pt>
    <dgm:pt modelId="{5865B6AA-9A9D-46ED-B85D-61C566F91B2B}" type="sibTrans" cxnId="{E56EA914-32FC-4F01-AE21-F02AF3BAD451}">
      <dgm:prSet/>
      <dgm:spPr/>
      <dgm:t>
        <a:bodyPr/>
        <a:lstStyle/>
        <a:p>
          <a:endParaRPr lang="es-CO" sz="2000"/>
        </a:p>
      </dgm:t>
    </dgm:pt>
    <dgm:pt modelId="{CF379588-8D99-446E-9DA3-7D31B1AC5467}">
      <dgm:prSet custT="1"/>
      <dgm:spPr/>
      <dgm:t>
        <a:bodyPr/>
        <a:lstStyle/>
        <a:p>
          <a:r>
            <a:rPr lang="es-CO" sz="900"/>
            <a:t>Procesamiento y análisis de información primaria</a:t>
          </a:r>
        </a:p>
      </dgm:t>
    </dgm:pt>
    <dgm:pt modelId="{C53496FF-16AA-4B86-9A97-C210D3425615}" type="parTrans" cxnId="{64B9461D-EAC6-4AD6-8946-7E802054283C}">
      <dgm:prSet/>
      <dgm:spPr/>
      <dgm:t>
        <a:bodyPr/>
        <a:lstStyle/>
        <a:p>
          <a:endParaRPr lang="es-CO" sz="2000"/>
        </a:p>
      </dgm:t>
    </dgm:pt>
    <dgm:pt modelId="{FA04A515-77A5-47E1-9A21-427002F75BBD}" type="sibTrans" cxnId="{64B9461D-EAC6-4AD6-8946-7E802054283C}">
      <dgm:prSet/>
      <dgm:spPr/>
      <dgm:t>
        <a:bodyPr/>
        <a:lstStyle/>
        <a:p>
          <a:endParaRPr lang="es-CO" sz="2000"/>
        </a:p>
      </dgm:t>
    </dgm:pt>
    <dgm:pt modelId="{F2356AF9-BEEF-4B44-8D11-6960D17AF916}">
      <dgm:prSet custT="1"/>
      <dgm:spPr/>
      <dgm:t>
        <a:bodyPr/>
        <a:lstStyle/>
        <a:p>
          <a:r>
            <a:rPr lang="es-CO" sz="900"/>
            <a:t>Propuesta zonificación inicial de la UOF</a:t>
          </a:r>
        </a:p>
      </dgm:t>
    </dgm:pt>
    <dgm:pt modelId="{30965C44-C041-42DC-BEED-B4376C8E6B72}" type="parTrans" cxnId="{952D29FA-01DB-4FF4-B950-87A63CC80292}">
      <dgm:prSet/>
      <dgm:spPr/>
      <dgm:t>
        <a:bodyPr/>
        <a:lstStyle/>
        <a:p>
          <a:endParaRPr lang="es-CO" sz="2000"/>
        </a:p>
      </dgm:t>
    </dgm:pt>
    <dgm:pt modelId="{B601354C-9FC2-4283-877B-28B5BED5CBBC}" type="sibTrans" cxnId="{952D29FA-01DB-4FF4-B950-87A63CC80292}">
      <dgm:prSet/>
      <dgm:spPr/>
      <dgm:t>
        <a:bodyPr/>
        <a:lstStyle/>
        <a:p>
          <a:endParaRPr lang="es-CO" sz="2000"/>
        </a:p>
      </dgm:t>
    </dgm:pt>
    <dgm:pt modelId="{51776FAA-A67F-43C9-93A9-09460B1195D0}">
      <dgm:prSet custT="1"/>
      <dgm:spPr/>
      <dgm:t>
        <a:bodyPr/>
        <a:lstStyle/>
        <a:p>
          <a:r>
            <a:rPr lang="es-CO" sz="900"/>
            <a:t>Propuesta de zonificación de las áreas forestales que componen la UOF</a:t>
          </a:r>
        </a:p>
      </dgm:t>
    </dgm:pt>
    <dgm:pt modelId="{F49DC0A9-8665-4ADA-A379-AC107454A3ED}" type="parTrans" cxnId="{72240C85-9D5C-458C-B319-EA4B04B6FA8A}">
      <dgm:prSet/>
      <dgm:spPr/>
      <dgm:t>
        <a:bodyPr/>
        <a:lstStyle/>
        <a:p>
          <a:endParaRPr lang="es-CO" sz="2000"/>
        </a:p>
      </dgm:t>
    </dgm:pt>
    <dgm:pt modelId="{C8B4DFF5-5087-4292-AE4B-32507D166EBF}" type="sibTrans" cxnId="{72240C85-9D5C-458C-B319-EA4B04B6FA8A}">
      <dgm:prSet/>
      <dgm:spPr/>
      <dgm:t>
        <a:bodyPr/>
        <a:lstStyle/>
        <a:p>
          <a:endParaRPr lang="es-CO" sz="2000"/>
        </a:p>
      </dgm:t>
    </dgm:pt>
    <dgm:pt modelId="{CF4F553E-C1BC-4366-8D1F-2538C739F34D}">
      <dgm:prSet phldrT="[Texto]" custT="1"/>
      <dgm:spPr/>
      <dgm:t>
        <a:bodyPr/>
        <a:lstStyle/>
        <a:p>
          <a:r>
            <a:rPr lang="es-CO" sz="900" b="1"/>
            <a:t>5. FASE DE FORMULACION</a:t>
          </a:r>
        </a:p>
      </dgm:t>
    </dgm:pt>
    <dgm:pt modelId="{87729DE7-2820-4664-B237-4A95FE1E2F12}" type="parTrans" cxnId="{E88658A0-3BDE-454E-A794-8505E55DC105}">
      <dgm:prSet/>
      <dgm:spPr/>
      <dgm:t>
        <a:bodyPr/>
        <a:lstStyle/>
        <a:p>
          <a:endParaRPr lang="es-CO" sz="2000"/>
        </a:p>
      </dgm:t>
    </dgm:pt>
    <dgm:pt modelId="{94558B0E-E006-4B59-8C83-CEE5060F8235}" type="sibTrans" cxnId="{E88658A0-3BDE-454E-A794-8505E55DC105}">
      <dgm:prSet/>
      <dgm:spPr/>
      <dgm:t>
        <a:bodyPr/>
        <a:lstStyle/>
        <a:p>
          <a:endParaRPr lang="es-CO" sz="2000"/>
        </a:p>
      </dgm:t>
    </dgm:pt>
    <dgm:pt modelId="{C14DAE80-C9AD-4DF2-AB00-76A03871C660}">
      <dgm:prSet custT="1"/>
      <dgm:spPr/>
      <dgm:t>
        <a:bodyPr/>
        <a:lstStyle/>
        <a:p>
          <a:r>
            <a:rPr lang="es-CO" sz="900"/>
            <a:t>Socialización versión premiminar de los POF</a:t>
          </a:r>
        </a:p>
      </dgm:t>
    </dgm:pt>
    <dgm:pt modelId="{1B35EC25-3A5D-44C3-8EC6-1F67B5E94F65}" type="parTrans" cxnId="{FAE50C2E-D4BD-46F3-ACBD-9DE02637A7D6}">
      <dgm:prSet/>
      <dgm:spPr/>
      <dgm:t>
        <a:bodyPr/>
        <a:lstStyle/>
        <a:p>
          <a:endParaRPr lang="es-CO" sz="2000"/>
        </a:p>
      </dgm:t>
    </dgm:pt>
    <dgm:pt modelId="{EB3C29DE-5BFD-45F2-B15E-ED5B03F68740}" type="sibTrans" cxnId="{FAE50C2E-D4BD-46F3-ACBD-9DE02637A7D6}">
      <dgm:prSet/>
      <dgm:spPr/>
      <dgm:t>
        <a:bodyPr/>
        <a:lstStyle/>
        <a:p>
          <a:endParaRPr lang="es-CO" sz="2000"/>
        </a:p>
      </dgm:t>
    </dgm:pt>
    <dgm:pt modelId="{0E652C00-4F5E-4225-B0DE-1E16E467F052}">
      <dgm:prSet phldrT="[Texto]" custT="1"/>
      <dgm:spPr/>
      <dgm:t>
        <a:bodyPr/>
        <a:lstStyle/>
        <a:p>
          <a:r>
            <a:rPr lang="es-CO" sz="900" b="1"/>
            <a:t>6. FASE DE IMPLEMENTACION</a:t>
          </a:r>
        </a:p>
      </dgm:t>
    </dgm:pt>
    <dgm:pt modelId="{6B4BA892-C7B2-40DA-97EE-3611027033ED}" type="parTrans" cxnId="{ABA36423-4ADF-4BC2-B9D4-4551354C1F10}">
      <dgm:prSet/>
      <dgm:spPr/>
      <dgm:t>
        <a:bodyPr/>
        <a:lstStyle/>
        <a:p>
          <a:endParaRPr lang="es-CO" sz="2000"/>
        </a:p>
      </dgm:t>
    </dgm:pt>
    <dgm:pt modelId="{49049186-C28C-4B3F-A75E-A3310F719D8A}" type="sibTrans" cxnId="{ABA36423-4ADF-4BC2-B9D4-4551354C1F10}">
      <dgm:prSet/>
      <dgm:spPr/>
      <dgm:t>
        <a:bodyPr/>
        <a:lstStyle/>
        <a:p>
          <a:endParaRPr lang="es-CO" sz="2000"/>
        </a:p>
      </dgm:t>
    </dgm:pt>
    <dgm:pt modelId="{FDC96EDD-2D2E-424F-9793-6C67FBB810DD}">
      <dgm:prSet custT="1"/>
      <dgm:spPr/>
      <dgm:t>
        <a:bodyPr/>
        <a:lstStyle/>
        <a:p>
          <a:r>
            <a:rPr lang="es-CO" sz="900"/>
            <a:t>Aprobación de los POF por Consejo Directivo de la autoridad ambiental competente</a:t>
          </a:r>
        </a:p>
      </dgm:t>
    </dgm:pt>
    <dgm:pt modelId="{C0F088F2-D816-422B-A598-8465D4C16265}" type="parTrans" cxnId="{A43DF155-EDED-4348-8849-3FB54F8752F4}">
      <dgm:prSet/>
      <dgm:spPr/>
      <dgm:t>
        <a:bodyPr/>
        <a:lstStyle/>
        <a:p>
          <a:endParaRPr lang="es-CO" sz="2000"/>
        </a:p>
      </dgm:t>
    </dgm:pt>
    <dgm:pt modelId="{D85BC74A-2C14-4596-B306-9B50E9FDF986}" type="sibTrans" cxnId="{A43DF155-EDED-4348-8849-3FB54F8752F4}">
      <dgm:prSet/>
      <dgm:spPr/>
      <dgm:t>
        <a:bodyPr/>
        <a:lstStyle/>
        <a:p>
          <a:endParaRPr lang="es-CO" sz="2000"/>
        </a:p>
      </dgm:t>
    </dgm:pt>
    <dgm:pt modelId="{6632AE42-4A3F-47A4-991F-05B67D9E15A4}">
      <dgm:prSet custT="1"/>
      <dgm:spPr/>
      <dgm:t>
        <a:bodyPr/>
        <a:lstStyle/>
        <a:p>
          <a:r>
            <a:rPr lang="es-CO" sz="900"/>
            <a:t>Incorporación de los POF en el POA de la autoridad ambiental competente</a:t>
          </a:r>
        </a:p>
      </dgm:t>
    </dgm:pt>
    <dgm:pt modelId="{EA24CD28-DA30-489E-812A-8D006AD804E2}" type="parTrans" cxnId="{66F80349-2184-4386-B9D3-B0DFF876CB84}">
      <dgm:prSet/>
      <dgm:spPr/>
      <dgm:t>
        <a:bodyPr/>
        <a:lstStyle/>
        <a:p>
          <a:endParaRPr lang="es-CO" sz="2000"/>
        </a:p>
      </dgm:t>
    </dgm:pt>
    <dgm:pt modelId="{413A0DEC-0431-4D0A-9CF6-9F28DD448962}" type="sibTrans" cxnId="{66F80349-2184-4386-B9D3-B0DFF876CB84}">
      <dgm:prSet/>
      <dgm:spPr/>
      <dgm:t>
        <a:bodyPr/>
        <a:lstStyle/>
        <a:p>
          <a:endParaRPr lang="es-CO" sz="2000"/>
        </a:p>
      </dgm:t>
    </dgm:pt>
    <dgm:pt modelId="{E9D3C62B-362B-44C9-A42A-154B9DBAE91C}">
      <dgm:prSet custT="1"/>
      <dgm:spPr/>
      <dgm:t>
        <a:bodyPr/>
        <a:lstStyle/>
        <a:p>
          <a:r>
            <a:rPr lang="es-CO" sz="900"/>
            <a:t>Desarrollo de planes, programas y proyectos de cada POF </a:t>
          </a:r>
        </a:p>
      </dgm:t>
    </dgm:pt>
    <dgm:pt modelId="{C9AEF7BE-B561-478B-BAC4-CA5215113050}" type="parTrans" cxnId="{62C6A6A5-51AF-43F3-B103-5345821FAFEE}">
      <dgm:prSet/>
      <dgm:spPr/>
      <dgm:t>
        <a:bodyPr/>
        <a:lstStyle/>
        <a:p>
          <a:endParaRPr lang="es-CO" sz="2000"/>
        </a:p>
      </dgm:t>
    </dgm:pt>
    <dgm:pt modelId="{FFF495EB-AA84-4FB0-A607-B67EEC28EFF6}" type="sibTrans" cxnId="{62C6A6A5-51AF-43F3-B103-5345821FAFEE}">
      <dgm:prSet/>
      <dgm:spPr/>
      <dgm:t>
        <a:bodyPr/>
        <a:lstStyle/>
        <a:p>
          <a:endParaRPr lang="es-CO" sz="2000"/>
        </a:p>
      </dgm:t>
    </dgm:pt>
    <dgm:pt modelId="{38D6ECF3-9DC0-4FA5-AA85-AE678086D86F}">
      <dgm:prSet phldrT="[Texto]" custT="1"/>
      <dgm:spPr/>
      <dgm:t>
        <a:bodyPr/>
        <a:lstStyle/>
        <a:p>
          <a:r>
            <a:rPr lang="es-CO" sz="900" b="1"/>
            <a:t>7. FASE DE SEGUIMIENTO Y ACTUALIZACION</a:t>
          </a:r>
        </a:p>
      </dgm:t>
    </dgm:pt>
    <dgm:pt modelId="{CA07B11D-A281-4474-956D-CE017D55096D}" type="parTrans" cxnId="{228A001C-DFEF-4BA8-8945-6B052FD3DB06}">
      <dgm:prSet/>
      <dgm:spPr/>
      <dgm:t>
        <a:bodyPr/>
        <a:lstStyle/>
        <a:p>
          <a:endParaRPr lang="es-CO" sz="2000"/>
        </a:p>
      </dgm:t>
    </dgm:pt>
    <dgm:pt modelId="{23F1DCF5-3AF5-46F5-8EBA-1B227FFDA68A}" type="sibTrans" cxnId="{228A001C-DFEF-4BA8-8945-6B052FD3DB06}">
      <dgm:prSet/>
      <dgm:spPr/>
      <dgm:t>
        <a:bodyPr/>
        <a:lstStyle/>
        <a:p>
          <a:endParaRPr lang="es-CO" sz="2000"/>
        </a:p>
      </dgm:t>
    </dgm:pt>
    <dgm:pt modelId="{7AD3D970-693A-46CB-93F2-8719BB4A2138}">
      <dgm:prSet custT="1"/>
      <dgm:spPr/>
      <dgm:t>
        <a:bodyPr/>
        <a:lstStyle/>
        <a:p>
          <a:r>
            <a:rPr lang="es-CO" sz="900"/>
            <a:t>Seguimiento a los POF</a:t>
          </a:r>
        </a:p>
      </dgm:t>
    </dgm:pt>
    <dgm:pt modelId="{76659B4B-2119-4F3E-A632-F083A9E2AF61}" type="parTrans" cxnId="{84B27017-A550-4955-B34A-A6F39E2DEC14}">
      <dgm:prSet/>
      <dgm:spPr/>
      <dgm:t>
        <a:bodyPr/>
        <a:lstStyle/>
        <a:p>
          <a:endParaRPr lang="es-CO" sz="2000"/>
        </a:p>
      </dgm:t>
    </dgm:pt>
    <dgm:pt modelId="{004D6EF7-97F6-4EB3-9B3E-229E15C08DFD}" type="sibTrans" cxnId="{84B27017-A550-4955-B34A-A6F39E2DEC14}">
      <dgm:prSet/>
      <dgm:spPr/>
      <dgm:t>
        <a:bodyPr/>
        <a:lstStyle/>
        <a:p>
          <a:endParaRPr lang="es-CO" sz="2000"/>
        </a:p>
      </dgm:t>
    </dgm:pt>
    <dgm:pt modelId="{92E8A65F-F99F-488E-AF0A-565C72278797}">
      <dgm:prSet custT="1"/>
      <dgm:spPr/>
      <dgm:t>
        <a:bodyPr/>
        <a:lstStyle/>
        <a:p>
          <a:r>
            <a:rPr lang="es-CO" sz="900"/>
            <a:t>Revisión y evaluación de los POF</a:t>
          </a:r>
        </a:p>
      </dgm:t>
    </dgm:pt>
    <dgm:pt modelId="{66E38FC8-C18A-470F-A205-AE2365A9DE78}" type="parTrans" cxnId="{3F409E34-BFAE-45FE-A027-0ABAC99B8A84}">
      <dgm:prSet/>
      <dgm:spPr/>
      <dgm:t>
        <a:bodyPr/>
        <a:lstStyle/>
        <a:p>
          <a:endParaRPr lang="es-CO" sz="2000"/>
        </a:p>
      </dgm:t>
    </dgm:pt>
    <dgm:pt modelId="{B79C7341-D380-4E6F-A6A3-3F12A56CC081}" type="sibTrans" cxnId="{3F409E34-BFAE-45FE-A027-0ABAC99B8A84}">
      <dgm:prSet/>
      <dgm:spPr/>
      <dgm:t>
        <a:bodyPr/>
        <a:lstStyle/>
        <a:p>
          <a:endParaRPr lang="es-CO" sz="2000"/>
        </a:p>
      </dgm:t>
    </dgm:pt>
    <dgm:pt modelId="{260FD557-A6C6-4FE3-8993-4A56E5810063}">
      <dgm:prSet custT="1"/>
      <dgm:spPr/>
      <dgm:t>
        <a:bodyPr/>
        <a:lstStyle/>
        <a:p>
          <a:r>
            <a:rPr lang="es-CO" sz="900"/>
            <a:t>Conformación del equipo de trabajo  </a:t>
          </a:r>
        </a:p>
      </dgm:t>
    </dgm:pt>
    <dgm:pt modelId="{99DC8CBA-2F58-4241-815F-B0348FB0A095}" type="parTrans" cxnId="{AE5988E1-7C16-4B0A-ABF6-7C82ABA26687}">
      <dgm:prSet/>
      <dgm:spPr/>
      <dgm:t>
        <a:bodyPr/>
        <a:lstStyle/>
        <a:p>
          <a:endParaRPr lang="es-CO"/>
        </a:p>
      </dgm:t>
    </dgm:pt>
    <dgm:pt modelId="{F96C925A-00E1-4DCD-9FAA-8558FB848EF6}" type="sibTrans" cxnId="{AE5988E1-7C16-4B0A-ABF6-7C82ABA26687}">
      <dgm:prSet/>
      <dgm:spPr/>
      <dgm:t>
        <a:bodyPr/>
        <a:lstStyle/>
        <a:p>
          <a:endParaRPr lang="es-CO"/>
        </a:p>
      </dgm:t>
    </dgm:pt>
    <dgm:pt modelId="{4A7800C9-7D3D-4FD3-A0C8-055EA574631C}">
      <dgm:prSet custT="1"/>
      <dgm:spPr/>
      <dgm:t>
        <a:bodyPr/>
        <a:lstStyle/>
        <a:p>
          <a:r>
            <a:rPr lang="es-CO" sz="900"/>
            <a:t>Chequeo cartografía en campo</a:t>
          </a:r>
        </a:p>
      </dgm:t>
    </dgm:pt>
    <dgm:pt modelId="{E88C88D6-C647-44AC-8F34-1CDDF9D56EAE}" type="parTrans" cxnId="{AF2C1DF1-0917-4A12-AD82-87034F4AA6BD}">
      <dgm:prSet/>
      <dgm:spPr/>
      <dgm:t>
        <a:bodyPr/>
        <a:lstStyle/>
        <a:p>
          <a:endParaRPr lang="es-CO"/>
        </a:p>
      </dgm:t>
    </dgm:pt>
    <dgm:pt modelId="{011E79F5-D3D2-430D-AB83-E364AA563D3C}" type="sibTrans" cxnId="{AF2C1DF1-0917-4A12-AD82-87034F4AA6BD}">
      <dgm:prSet/>
      <dgm:spPr/>
      <dgm:t>
        <a:bodyPr/>
        <a:lstStyle/>
        <a:p>
          <a:endParaRPr lang="es-CO"/>
        </a:p>
      </dgm:t>
    </dgm:pt>
    <dgm:pt modelId="{320F87EC-CED1-4210-8A86-B8F3B4014BD7}">
      <dgm:prSet custT="1"/>
      <dgm:spPr/>
      <dgm:t>
        <a:bodyPr/>
        <a:lstStyle/>
        <a:p>
          <a:r>
            <a:rPr lang="es-CO" sz="900"/>
            <a:t>Desarrollo del premuestreo, ajuste y realización del inventario forestal</a:t>
          </a:r>
        </a:p>
      </dgm:t>
    </dgm:pt>
    <dgm:pt modelId="{3E66B59C-1F4A-4068-B805-1D0FD9DF5EB9}" type="parTrans" cxnId="{B2CEC7D1-0EF3-43E8-A8C4-CA91F9F8B2C6}">
      <dgm:prSet/>
      <dgm:spPr/>
      <dgm:t>
        <a:bodyPr/>
        <a:lstStyle/>
        <a:p>
          <a:endParaRPr lang="es-CO"/>
        </a:p>
      </dgm:t>
    </dgm:pt>
    <dgm:pt modelId="{9C227A2C-DB8C-4F82-9033-31A1665D63A3}" type="sibTrans" cxnId="{B2CEC7D1-0EF3-43E8-A8C4-CA91F9F8B2C6}">
      <dgm:prSet/>
      <dgm:spPr/>
      <dgm:t>
        <a:bodyPr/>
        <a:lstStyle/>
        <a:p>
          <a:endParaRPr lang="es-CO"/>
        </a:p>
      </dgm:t>
    </dgm:pt>
    <dgm:pt modelId="{34106E7C-5D09-4727-92DE-E55E74AC51EE}">
      <dgm:prSet custT="1"/>
      <dgm:spPr/>
      <dgm:t>
        <a:bodyPr/>
        <a:lstStyle/>
        <a:p>
          <a:r>
            <a:rPr lang="es-CO" sz="900"/>
            <a:t>Desarrollo del componente socieconomico</a:t>
          </a:r>
        </a:p>
      </dgm:t>
    </dgm:pt>
    <dgm:pt modelId="{9975E2E8-9436-4F43-A130-25EADB8F15E6}" type="parTrans" cxnId="{6C6EB5FC-FF88-485A-AB17-1DEBD14B1B4D}">
      <dgm:prSet/>
      <dgm:spPr/>
      <dgm:t>
        <a:bodyPr/>
        <a:lstStyle/>
        <a:p>
          <a:endParaRPr lang="es-CO"/>
        </a:p>
      </dgm:t>
    </dgm:pt>
    <dgm:pt modelId="{55FD3231-A594-44A3-9758-E80BFF642EBF}" type="sibTrans" cxnId="{6C6EB5FC-FF88-485A-AB17-1DEBD14B1B4D}">
      <dgm:prSet/>
      <dgm:spPr/>
      <dgm:t>
        <a:bodyPr/>
        <a:lstStyle/>
        <a:p>
          <a:endParaRPr lang="es-CO"/>
        </a:p>
      </dgm:t>
    </dgm:pt>
    <dgm:pt modelId="{275C1FC4-3E17-4EB7-B629-3B18A2C22A68}">
      <dgm:prSet custT="1"/>
      <dgm:spPr/>
      <dgm:t>
        <a:bodyPr/>
        <a:lstStyle/>
        <a:p>
          <a:r>
            <a:rPr lang="es-CO" sz="900"/>
            <a:t>Desarrollo del componente suelos</a:t>
          </a:r>
        </a:p>
      </dgm:t>
    </dgm:pt>
    <dgm:pt modelId="{47FF5181-689E-402C-BA5E-A7F036D82964}" type="parTrans" cxnId="{387F9B62-BA72-46DA-93B7-D805807BFC03}">
      <dgm:prSet/>
      <dgm:spPr/>
      <dgm:t>
        <a:bodyPr/>
        <a:lstStyle/>
        <a:p>
          <a:endParaRPr lang="es-CO"/>
        </a:p>
      </dgm:t>
    </dgm:pt>
    <dgm:pt modelId="{BD9B50B6-A249-4B4C-A504-6B8A26A3E4B7}" type="sibTrans" cxnId="{387F9B62-BA72-46DA-93B7-D805807BFC03}">
      <dgm:prSet/>
      <dgm:spPr/>
      <dgm:t>
        <a:bodyPr/>
        <a:lstStyle/>
        <a:p>
          <a:endParaRPr lang="es-CO"/>
        </a:p>
      </dgm:t>
    </dgm:pt>
    <dgm:pt modelId="{0C7E1392-1B2E-4473-98A3-7DB95B0F3E41}">
      <dgm:prSet custT="1"/>
      <dgm:spPr/>
      <dgm:t>
        <a:bodyPr/>
        <a:lstStyle/>
        <a:p>
          <a:r>
            <a:rPr lang="es-CO" sz="900"/>
            <a:t>Desarrollo del componente fauna</a:t>
          </a:r>
        </a:p>
      </dgm:t>
    </dgm:pt>
    <dgm:pt modelId="{1BB85BBF-AE3C-4053-94E1-A07AA9D27118}" type="parTrans" cxnId="{21FF54B0-7061-409D-AA77-9C011DC7E50B}">
      <dgm:prSet/>
      <dgm:spPr/>
      <dgm:t>
        <a:bodyPr/>
        <a:lstStyle/>
        <a:p>
          <a:endParaRPr lang="es-CO"/>
        </a:p>
      </dgm:t>
    </dgm:pt>
    <dgm:pt modelId="{170804D9-020B-4492-BDDC-2864E2B9B088}" type="sibTrans" cxnId="{21FF54B0-7061-409D-AA77-9C011DC7E50B}">
      <dgm:prSet/>
      <dgm:spPr/>
      <dgm:t>
        <a:bodyPr/>
        <a:lstStyle/>
        <a:p>
          <a:endParaRPr lang="es-CO"/>
        </a:p>
      </dgm:t>
    </dgm:pt>
    <dgm:pt modelId="{FB36F50F-332B-41E1-B818-61C37228C5CE}">
      <dgm:prSet custT="1"/>
      <dgm:spPr/>
      <dgm:t>
        <a:bodyPr/>
        <a:lstStyle/>
        <a:p>
          <a:r>
            <a:rPr lang="es-CO" sz="900"/>
            <a:t>Armonización de los POF con actores locales y regionales</a:t>
          </a:r>
        </a:p>
      </dgm:t>
    </dgm:pt>
    <dgm:pt modelId="{1B402964-486C-4D88-B25B-BFBD3B7CB725}" type="parTrans" cxnId="{44A4FD8C-B715-4763-9E06-4EBC7F129D51}">
      <dgm:prSet/>
      <dgm:spPr/>
      <dgm:t>
        <a:bodyPr/>
        <a:lstStyle/>
        <a:p>
          <a:endParaRPr lang="es-CO"/>
        </a:p>
      </dgm:t>
    </dgm:pt>
    <dgm:pt modelId="{2F60FF59-EE81-4035-BCD0-A1A526D6233D}" type="sibTrans" cxnId="{44A4FD8C-B715-4763-9E06-4EBC7F129D51}">
      <dgm:prSet/>
      <dgm:spPr/>
      <dgm:t>
        <a:bodyPr/>
        <a:lstStyle/>
        <a:p>
          <a:endParaRPr lang="es-CO"/>
        </a:p>
      </dgm:t>
    </dgm:pt>
    <dgm:pt modelId="{2DDC3C6B-EB89-41BC-9626-2C8602AFD180}">
      <dgm:prSet custT="1"/>
      <dgm:spPr/>
      <dgm:t>
        <a:bodyPr/>
        <a:lstStyle/>
        <a:p>
          <a:r>
            <a:rPr lang="es-CO" sz="900"/>
            <a:t>Edición y ajustes de los POF</a:t>
          </a:r>
        </a:p>
      </dgm:t>
    </dgm:pt>
    <dgm:pt modelId="{8CA01F60-749A-4F13-A5F9-52959A1E5ACD}" type="parTrans" cxnId="{CBF95272-9C66-408A-9CF3-C7F12DD60BBE}">
      <dgm:prSet/>
      <dgm:spPr/>
      <dgm:t>
        <a:bodyPr/>
        <a:lstStyle/>
        <a:p>
          <a:endParaRPr lang="es-CO"/>
        </a:p>
      </dgm:t>
    </dgm:pt>
    <dgm:pt modelId="{4EF9A5D6-D9ED-4637-A11E-A0AF0603FCE7}" type="sibTrans" cxnId="{CBF95272-9C66-408A-9CF3-C7F12DD60BBE}">
      <dgm:prSet/>
      <dgm:spPr/>
      <dgm:t>
        <a:bodyPr/>
        <a:lstStyle/>
        <a:p>
          <a:endParaRPr lang="es-CO"/>
        </a:p>
      </dgm:t>
    </dgm:pt>
    <dgm:pt modelId="{29647C36-AD56-480A-B274-AFD85B8257AC}">
      <dgm:prSet custT="1"/>
      <dgm:spPr/>
      <dgm:t>
        <a:bodyPr/>
        <a:lstStyle/>
        <a:p>
          <a:r>
            <a:rPr lang="es-CO" sz="900"/>
            <a:t>Actualización de los POF  </a:t>
          </a:r>
        </a:p>
      </dgm:t>
    </dgm:pt>
    <dgm:pt modelId="{8B89DDF0-7CED-46E8-8F61-0B17466698FF}" type="sibTrans" cxnId="{F617155A-07A4-40C6-B9E5-6E820D5C2875}">
      <dgm:prSet/>
      <dgm:spPr/>
      <dgm:t>
        <a:bodyPr/>
        <a:lstStyle/>
        <a:p>
          <a:endParaRPr lang="es-CO" sz="2000"/>
        </a:p>
      </dgm:t>
    </dgm:pt>
    <dgm:pt modelId="{4CAE2BE9-B466-4310-88AB-C78BF23B7371}" type="parTrans" cxnId="{F617155A-07A4-40C6-B9E5-6E820D5C2875}">
      <dgm:prSet/>
      <dgm:spPr/>
      <dgm:t>
        <a:bodyPr/>
        <a:lstStyle/>
        <a:p>
          <a:endParaRPr lang="es-CO" sz="2000"/>
        </a:p>
      </dgm:t>
    </dgm:pt>
    <dgm:pt modelId="{477C0414-2F64-47A3-9675-FE2E4F8C4A83}">
      <dgm:prSet custT="1"/>
      <dgm:spPr/>
      <dgm:t>
        <a:bodyPr/>
        <a:lstStyle/>
        <a:p>
          <a:r>
            <a:rPr lang="es-CO" sz="900"/>
            <a:t> Formulación del POF para cada área forestal de la UOF</a:t>
          </a:r>
        </a:p>
      </dgm:t>
    </dgm:pt>
    <dgm:pt modelId="{211F0972-F335-42CF-8898-D6AD2F24BDF4}" type="parTrans" cxnId="{3673614D-FB3D-4D84-B4D5-C1C1FEB93DC6}">
      <dgm:prSet/>
      <dgm:spPr/>
      <dgm:t>
        <a:bodyPr/>
        <a:lstStyle/>
        <a:p>
          <a:endParaRPr lang="es-CO"/>
        </a:p>
      </dgm:t>
    </dgm:pt>
    <dgm:pt modelId="{8249E61B-7B06-45EC-87B1-4624BFB202FC}" type="sibTrans" cxnId="{3673614D-FB3D-4D84-B4D5-C1C1FEB93DC6}">
      <dgm:prSet/>
      <dgm:spPr/>
      <dgm:t>
        <a:bodyPr/>
        <a:lstStyle/>
        <a:p>
          <a:endParaRPr lang="es-CO"/>
        </a:p>
      </dgm:t>
    </dgm:pt>
    <dgm:pt modelId="{1DEF4F99-0D10-4E54-A0BF-F9524F830250}" type="pres">
      <dgm:prSet presAssocID="{DCD48D7A-4B03-4423-8CB5-5C5D79405805}" presName="linear" presStyleCnt="0">
        <dgm:presLayoutVars>
          <dgm:dir/>
          <dgm:animLvl val="lvl"/>
          <dgm:resizeHandles val="exact"/>
        </dgm:presLayoutVars>
      </dgm:prSet>
      <dgm:spPr/>
    </dgm:pt>
    <dgm:pt modelId="{2FA5CF8F-DEE2-445C-8A9F-A5B19AA1EC66}" type="pres">
      <dgm:prSet presAssocID="{2CB7F8B1-2637-4408-9185-3A95A2E4D4D4}" presName="parentLin" presStyleCnt="0"/>
      <dgm:spPr/>
    </dgm:pt>
    <dgm:pt modelId="{545F5493-E5D3-45CD-9407-AD3146FF5B66}" type="pres">
      <dgm:prSet presAssocID="{2CB7F8B1-2637-4408-9185-3A95A2E4D4D4}" presName="parentLeftMargin" presStyleLbl="node1" presStyleIdx="0" presStyleCnt="7"/>
      <dgm:spPr/>
    </dgm:pt>
    <dgm:pt modelId="{E6E34545-7A70-45F5-AF30-5300FEAF0CB4}" type="pres">
      <dgm:prSet presAssocID="{2CB7F8B1-2637-4408-9185-3A95A2E4D4D4}" presName="parentText" presStyleLbl="node1" presStyleIdx="0" presStyleCnt="7">
        <dgm:presLayoutVars>
          <dgm:chMax val="0"/>
          <dgm:bulletEnabled val="1"/>
        </dgm:presLayoutVars>
      </dgm:prSet>
      <dgm:spPr/>
    </dgm:pt>
    <dgm:pt modelId="{EF9B6E2C-EF0B-4D48-9074-55D69A90DE21}" type="pres">
      <dgm:prSet presAssocID="{2CB7F8B1-2637-4408-9185-3A95A2E4D4D4}" presName="negativeSpace" presStyleCnt="0"/>
      <dgm:spPr/>
    </dgm:pt>
    <dgm:pt modelId="{35D5CD7D-3A20-4EB8-B442-65E54571D39E}" type="pres">
      <dgm:prSet presAssocID="{2CB7F8B1-2637-4408-9185-3A95A2E4D4D4}" presName="childText" presStyleLbl="conFgAcc1" presStyleIdx="0" presStyleCnt="7" custLinFactNeighborX="210" custLinFactNeighborY="66562">
        <dgm:presLayoutVars>
          <dgm:bulletEnabled val="1"/>
        </dgm:presLayoutVars>
      </dgm:prSet>
      <dgm:spPr/>
    </dgm:pt>
    <dgm:pt modelId="{AB83843B-19AA-4C45-ACB9-0772D543D28B}" type="pres">
      <dgm:prSet presAssocID="{1E2C00AA-92AD-4DFD-ADBE-9EE00E1BF72B}" presName="spaceBetweenRectangles" presStyleCnt="0"/>
      <dgm:spPr/>
    </dgm:pt>
    <dgm:pt modelId="{55019F05-739C-499C-85AD-7269005767A1}" type="pres">
      <dgm:prSet presAssocID="{8069E184-766F-4E8B-A1E8-51EDBCF8B787}" presName="parentLin" presStyleCnt="0"/>
      <dgm:spPr/>
    </dgm:pt>
    <dgm:pt modelId="{8FFBFEAB-4C29-43E1-9195-E019257224C0}" type="pres">
      <dgm:prSet presAssocID="{8069E184-766F-4E8B-A1E8-51EDBCF8B787}" presName="parentLeftMargin" presStyleLbl="node1" presStyleIdx="0" presStyleCnt="7"/>
      <dgm:spPr/>
    </dgm:pt>
    <dgm:pt modelId="{C4175353-957F-4B0A-882A-9D65932C4C45}" type="pres">
      <dgm:prSet presAssocID="{8069E184-766F-4E8B-A1E8-51EDBCF8B787}" presName="parentText" presStyleLbl="node1" presStyleIdx="1" presStyleCnt="7" custLinFactNeighborX="7859" custLinFactNeighborY="9302">
        <dgm:presLayoutVars>
          <dgm:chMax val="0"/>
          <dgm:bulletEnabled val="1"/>
        </dgm:presLayoutVars>
      </dgm:prSet>
      <dgm:spPr/>
    </dgm:pt>
    <dgm:pt modelId="{0862C50F-306A-4E6B-A23B-07B15ECDE9F7}" type="pres">
      <dgm:prSet presAssocID="{8069E184-766F-4E8B-A1E8-51EDBCF8B787}" presName="negativeSpace" presStyleCnt="0"/>
      <dgm:spPr/>
    </dgm:pt>
    <dgm:pt modelId="{BEC4ABD6-0E89-47BE-B95E-5D5D71B73DA1}" type="pres">
      <dgm:prSet presAssocID="{8069E184-766F-4E8B-A1E8-51EDBCF8B787}" presName="childText" presStyleLbl="conFgAcc1" presStyleIdx="1" presStyleCnt="7" custLinFactNeighborY="66562">
        <dgm:presLayoutVars>
          <dgm:bulletEnabled val="1"/>
        </dgm:presLayoutVars>
      </dgm:prSet>
      <dgm:spPr/>
    </dgm:pt>
    <dgm:pt modelId="{BEB87FCE-F499-4870-8AB0-98F9F509D50E}" type="pres">
      <dgm:prSet presAssocID="{93F1D987-E557-4E03-8C29-D08B5E8AAD1B}" presName="spaceBetweenRectangles" presStyleCnt="0"/>
      <dgm:spPr/>
    </dgm:pt>
    <dgm:pt modelId="{3AA816E6-3A8D-45C3-B0AF-DCE6C0F7D52F}" type="pres">
      <dgm:prSet presAssocID="{717ECC8B-6813-4A27-9DC1-A0349E570257}" presName="parentLin" presStyleCnt="0"/>
      <dgm:spPr/>
    </dgm:pt>
    <dgm:pt modelId="{9702987D-0E97-487C-8CCC-50D92DF3BD3E}" type="pres">
      <dgm:prSet presAssocID="{717ECC8B-6813-4A27-9DC1-A0349E570257}" presName="parentLeftMargin" presStyleLbl="node1" presStyleIdx="1" presStyleCnt="7"/>
      <dgm:spPr/>
    </dgm:pt>
    <dgm:pt modelId="{2F94551E-AD58-4389-A867-ACC7E854241D}" type="pres">
      <dgm:prSet presAssocID="{717ECC8B-6813-4A27-9DC1-A0349E570257}" presName="parentText" presStyleLbl="node1" presStyleIdx="2" presStyleCnt="7" custLinFactNeighborX="-3930" custLinFactNeighborY="9302">
        <dgm:presLayoutVars>
          <dgm:chMax val="0"/>
          <dgm:bulletEnabled val="1"/>
        </dgm:presLayoutVars>
      </dgm:prSet>
      <dgm:spPr/>
    </dgm:pt>
    <dgm:pt modelId="{0B0D6F0B-4DEB-4B88-B257-B59830E60C59}" type="pres">
      <dgm:prSet presAssocID="{717ECC8B-6813-4A27-9DC1-A0349E570257}" presName="negativeSpace" presStyleCnt="0"/>
      <dgm:spPr/>
    </dgm:pt>
    <dgm:pt modelId="{3BC1BA34-3099-48F7-ADCC-C59CA8F05523}" type="pres">
      <dgm:prSet presAssocID="{717ECC8B-6813-4A27-9DC1-A0349E570257}" presName="childText" presStyleLbl="conFgAcc1" presStyleIdx="2" presStyleCnt="7" custScaleY="93432" custLinFactNeighborY="66561">
        <dgm:presLayoutVars>
          <dgm:bulletEnabled val="1"/>
        </dgm:presLayoutVars>
      </dgm:prSet>
      <dgm:spPr/>
    </dgm:pt>
    <dgm:pt modelId="{ED98C6C5-10F9-43FD-B588-4DD8CA453F1D}" type="pres">
      <dgm:prSet presAssocID="{60E19195-CF68-47DE-9785-66C048977208}" presName="spaceBetweenRectangles" presStyleCnt="0"/>
      <dgm:spPr/>
    </dgm:pt>
    <dgm:pt modelId="{15A1C469-7C3A-4EBC-B23A-4CE4DD373580}" type="pres">
      <dgm:prSet presAssocID="{D67F9A5A-5E88-44A1-939C-135CE3AF4041}" presName="parentLin" presStyleCnt="0"/>
      <dgm:spPr/>
    </dgm:pt>
    <dgm:pt modelId="{3B8B29A2-8F27-4747-815F-4C192BC39EFB}" type="pres">
      <dgm:prSet presAssocID="{D67F9A5A-5E88-44A1-939C-135CE3AF4041}" presName="parentLeftMargin" presStyleLbl="node1" presStyleIdx="2" presStyleCnt="7"/>
      <dgm:spPr/>
    </dgm:pt>
    <dgm:pt modelId="{514BAA5A-25A1-407B-9E98-4F585743FC17}" type="pres">
      <dgm:prSet presAssocID="{D67F9A5A-5E88-44A1-939C-135CE3AF4041}" presName="parentText" presStyleLbl="node1" presStyleIdx="3" presStyleCnt="7" custLinFactNeighborY="9302">
        <dgm:presLayoutVars>
          <dgm:chMax val="0"/>
          <dgm:bulletEnabled val="1"/>
        </dgm:presLayoutVars>
      </dgm:prSet>
      <dgm:spPr/>
    </dgm:pt>
    <dgm:pt modelId="{584AD0D6-0EBE-40B3-A5EF-BEFBE1FDD233}" type="pres">
      <dgm:prSet presAssocID="{D67F9A5A-5E88-44A1-939C-135CE3AF4041}" presName="negativeSpace" presStyleCnt="0"/>
      <dgm:spPr/>
    </dgm:pt>
    <dgm:pt modelId="{06ACE6F8-0FA9-44AE-BA37-8718AB57D422}" type="pres">
      <dgm:prSet presAssocID="{D67F9A5A-5E88-44A1-939C-135CE3AF4041}" presName="childText" presStyleLbl="conFgAcc1" presStyleIdx="3" presStyleCnt="7" custLinFactY="571" custLinFactNeighborY="100000">
        <dgm:presLayoutVars>
          <dgm:bulletEnabled val="1"/>
        </dgm:presLayoutVars>
      </dgm:prSet>
      <dgm:spPr/>
    </dgm:pt>
    <dgm:pt modelId="{728F8364-6B69-4FB1-8CEE-FE0453B48F74}" type="pres">
      <dgm:prSet presAssocID="{5865B6AA-9A9D-46ED-B85D-61C566F91B2B}" presName="spaceBetweenRectangles" presStyleCnt="0"/>
      <dgm:spPr/>
    </dgm:pt>
    <dgm:pt modelId="{2FED5211-A15F-4937-8626-A219A5AF8F6A}" type="pres">
      <dgm:prSet presAssocID="{CF4F553E-C1BC-4366-8D1F-2538C739F34D}" presName="parentLin" presStyleCnt="0"/>
      <dgm:spPr/>
    </dgm:pt>
    <dgm:pt modelId="{96E24B0A-8F37-4257-B7B3-645FB1DA6A85}" type="pres">
      <dgm:prSet presAssocID="{CF4F553E-C1BC-4366-8D1F-2538C739F34D}" presName="parentLeftMargin" presStyleLbl="node1" presStyleIdx="3" presStyleCnt="7"/>
      <dgm:spPr/>
    </dgm:pt>
    <dgm:pt modelId="{72C2FA48-4513-4CD5-8267-CAFA222E040F}" type="pres">
      <dgm:prSet presAssocID="{CF4F553E-C1BC-4366-8D1F-2538C739F34D}" presName="parentText" presStyleLbl="node1" presStyleIdx="4" presStyleCnt="7" custLinFactNeighborX="-3930" custLinFactNeighborY="15503">
        <dgm:presLayoutVars>
          <dgm:chMax val="0"/>
          <dgm:bulletEnabled val="1"/>
        </dgm:presLayoutVars>
      </dgm:prSet>
      <dgm:spPr/>
    </dgm:pt>
    <dgm:pt modelId="{C5574D53-E5B2-4961-BC19-B9AEEE8D8A74}" type="pres">
      <dgm:prSet presAssocID="{CF4F553E-C1BC-4366-8D1F-2538C739F34D}" presName="negativeSpace" presStyleCnt="0"/>
      <dgm:spPr/>
    </dgm:pt>
    <dgm:pt modelId="{4EFCDA67-9C44-44DD-A910-D775D3C6B542}" type="pres">
      <dgm:prSet presAssocID="{CF4F553E-C1BC-4366-8D1F-2538C739F34D}" presName="childText" presStyleLbl="conFgAcc1" presStyleIdx="4" presStyleCnt="7" custScaleY="87228" custLinFactNeighborY="79873">
        <dgm:presLayoutVars>
          <dgm:bulletEnabled val="1"/>
        </dgm:presLayoutVars>
      </dgm:prSet>
      <dgm:spPr/>
    </dgm:pt>
    <dgm:pt modelId="{44903029-1598-44FF-927B-4388D5E8763C}" type="pres">
      <dgm:prSet presAssocID="{94558B0E-E006-4B59-8C83-CEE5060F8235}" presName="spaceBetweenRectangles" presStyleCnt="0"/>
      <dgm:spPr/>
    </dgm:pt>
    <dgm:pt modelId="{86EE8AB6-545B-4020-AEC6-19F34F74D919}" type="pres">
      <dgm:prSet presAssocID="{0E652C00-4F5E-4225-B0DE-1E16E467F052}" presName="parentLin" presStyleCnt="0"/>
      <dgm:spPr/>
    </dgm:pt>
    <dgm:pt modelId="{C7C02459-324F-4CBA-B9A7-D10266029FAC}" type="pres">
      <dgm:prSet presAssocID="{0E652C00-4F5E-4225-B0DE-1E16E467F052}" presName="parentLeftMargin" presStyleLbl="node1" presStyleIdx="4" presStyleCnt="7"/>
      <dgm:spPr/>
    </dgm:pt>
    <dgm:pt modelId="{4E9F94DE-8CF1-4FE7-9A6B-53CB416743FC}" type="pres">
      <dgm:prSet presAssocID="{0E652C00-4F5E-4225-B0DE-1E16E467F052}" presName="parentText" presStyleLbl="node1" presStyleIdx="5" presStyleCnt="7" custLinFactNeighborY="12402">
        <dgm:presLayoutVars>
          <dgm:chMax val="0"/>
          <dgm:bulletEnabled val="1"/>
        </dgm:presLayoutVars>
      </dgm:prSet>
      <dgm:spPr/>
    </dgm:pt>
    <dgm:pt modelId="{DD8C64AD-F0AB-4DAF-BD3D-6848B3517AE4}" type="pres">
      <dgm:prSet presAssocID="{0E652C00-4F5E-4225-B0DE-1E16E467F052}" presName="negativeSpace" presStyleCnt="0"/>
      <dgm:spPr/>
    </dgm:pt>
    <dgm:pt modelId="{FA8C06B1-BAA1-4827-A601-D14B18466DB6}" type="pres">
      <dgm:prSet presAssocID="{0E652C00-4F5E-4225-B0DE-1E16E467F052}" presName="childText" presStyleLbl="conFgAcc1" presStyleIdx="5" presStyleCnt="7" custLinFactNeighborY="66562">
        <dgm:presLayoutVars>
          <dgm:bulletEnabled val="1"/>
        </dgm:presLayoutVars>
      </dgm:prSet>
      <dgm:spPr/>
    </dgm:pt>
    <dgm:pt modelId="{D62CC520-BE4A-45F5-85CF-6F1FF6479E7B}" type="pres">
      <dgm:prSet presAssocID="{49049186-C28C-4B3F-A75E-A3310F719D8A}" presName="spaceBetweenRectangles" presStyleCnt="0"/>
      <dgm:spPr/>
    </dgm:pt>
    <dgm:pt modelId="{0ACFCED0-6DBF-47C9-BEFF-1C22DE7DB9F3}" type="pres">
      <dgm:prSet presAssocID="{38D6ECF3-9DC0-4FA5-AA85-AE678086D86F}" presName="parentLin" presStyleCnt="0"/>
      <dgm:spPr/>
    </dgm:pt>
    <dgm:pt modelId="{A03587EF-2C72-4284-B879-B71BE0640BA4}" type="pres">
      <dgm:prSet presAssocID="{38D6ECF3-9DC0-4FA5-AA85-AE678086D86F}" presName="parentLeftMargin" presStyleLbl="node1" presStyleIdx="5" presStyleCnt="7"/>
      <dgm:spPr/>
    </dgm:pt>
    <dgm:pt modelId="{0BB363C2-1000-4D63-89E1-75C121258685}" type="pres">
      <dgm:prSet presAssocID="{38D6ECF3-9DC0-4FA5-AA85-AE678086D86F}" presName="parentText" presStyleLbl="node1" presStyleIdx="6" presStyleCnt="7" custLinFactNeighborX="3930" custLinFactNeighborY="12402">
        <dgm:presLayoutVars>
          <dgm:chMax val="0"/>
          <dgm:bulletEnabled val="1"/>
        </dgm:presLayoutVars>
      </dgm:prSet>
      <dgm:spPr/>
    </dgm:pt>
    <dgm:pt modelId="{C9B2B30D-0668-43BB-8909-432202A9EDB4}" type="pres">
      <dgm:prSet presAssocID="{38D6ECF3-9DC0-4FA5-AA85-AE678086D86F}" presName="negativeSpace" presStyleCnt="0"/>
      <dgm:spPr/>
    </dgm:pt>
    <dgm:pt modelId="{77262FC2-D56C-47EC-A6D3-390D5DF0E708}" type="pres">
      <dgm:prSet presAssocID="{38D6ECF3-9DC0-4FA5-AA85-AE678086D86F}" presName="childText" presStyleLbl="conFgAcc1" presStyleIdx="6" presStyleCnt="7" custLinFactNeighborY="19481">
        <dgm:presLayoutVars>
          <dgm:bulletEnabled val="1"/>
        </dgm:presLayoutVars>
      </dgm:prSet>
      <dgm:spPr/>
    </dgm:pt>
  </dgm:ptLst>
  <dgm:cxnLst>
    <dgm:cxn modelId="{86BCD402-AC25-4EFC-9A1D-FA632AC7B6B7}" type="presOf" srcId="{D67F9A5A-5E88-44A1-939C-135CE3AF4041}" destId="{514BAA5A-25A1-407B-9E98-4F585743FC17}" srcOrd="1" destOrd="0" presId="urn:microsoft.com/office/officeart/2005/8/layout/list1"/>
    <dgm:cxn modelId="{86FF9304-A88E-4E74-AECB-FD793CD64EBE}" srcId="{717ECC8B-6813-4A27-9DC1-A0349E570257}" destId="{90932CD4-98AF-4D20-B3A5-3F4217DAB33C}" srcOrd="0" destOrd="0" parTransId="{D4A14047-4231-4EAE-82B4-884A078437F6}" sibTransId="{678DBBEA-15F8-4CEC-BE62-3B0B23BED2F8}"/>
    <dgm:cxn modelId="{1FF54305-BFB2-4855-ACDA-8F153FA4F52D}" type="presOf" srcId="{8069E184-766F-4E8B-A1E8-51EDBCF8B787}" destId="{8FFBFEAB-4C29-43E1-9195-E019257224C0}" srcOrd="0" destOrd="0" presId="urn:microsoft.com/office/officeart/2005/8/layout/list1"/>
    <dgm:cxn modelId="{39949B06-98CA-426A-A4A6-EA0210D2BAFD}" type="presOf" srcId="{DCD48D7A-4B03-4423-8CB5-5C5D79405805}" destId="{1DEF4F99-0D10-4E54-A0BF-F9524F830250}" srcOrd="0" destOrd="0" presId="urn:microsoft.com/office/officeart/2005/8/layout/list1"/>
    <dgm:cxn modelId="{09C94807-2443-4E06-A6A2-8ACA048AF36F}" type="presOf" srcId="{0E652C00-4F5E-4225-B0DE-1E16E467F052}" destId="{4E9F94DE-8CF1-4FE7-9A6B-53CB416743FC}" srcOrd="1" destOrd="0" presId="urn:microsoft.com/office/officeart/2005/8/layout/list1"/>
    <dgm:cxn modelId="{E56EA914-32FC-4F01-AE21-F02AF3BAD451}" srcId="{DCD48D7A-4B03-4423-8CB5-5C5D79405805}" destId="{D67F9A5A-5E88-44A1-939C-135CE3AF4041}" srcOrd="3" destOrd="0" parTransId="{147BBB2B-EBFD-43A6-B289-2DA32B306280}" sibTransId="{5865B6AA-9A9D-46ED-B85D-61C566F91B2B}"/>
    <dgm:cxn modelId="{84B27017-A550-4955-B34A-A6F39E2DEC14}" srcId="{38D6ECF3-9DC0-4FA5-AA85-AE678086D86F}" destId="{7AD3D970-693A-46CB-93F2-8719BB4A2138}" srcOrd="0" destOrd="0" parTransId="{76659B4B-2119-4F3E-A632-F083A9E2AF61}" sibTransId="{004D6EF7-97F6-4EB3-9B3E-229E15C08DFD}"/>
    <dgm:cxn modelId="{81798117-7F32-4512-A9BE-FB15A365DCF2}" type="presOf" srcId="{477C0414-2F64-47A3-9675-FE2E4F8C4A83}" destId="{06ACE6F8-0FA9-44AE-BA37-8718AB57D422}" srcOrd="0" destOrd="3" presId="urn:microsoft.com/office/officeart/2005/8/layout/list1"/>
    <dgm:cxn modelId="{DF270C1B-8DAC-4DC2-9C2B-404524166343}" srcId="{DCD48D7A-4B03-4423-8CB5-5C5D79405805}" destId="{2CB7F8B1-2637-4408-9185-3A95A2E4D4D4}" srcOrd="0" destOrd="0" parTransId="{64144A9E-10F1-4862-BFC7-09D5896ACB2E}" sibTransId="{1E2C00AA-92AD-4DFD-ADBE-9EE00E1BF72B}"/>
    <dgm:cxn modelId="{228A001C-DFEF-4BA8-8945-6B052FD3DB06}" srcId="{DCD48D7A-4B03-4423-8CB5-5C5D79405805}" destId="{38D6ECF3-9DC0-4FA5-AA85-AE678086D86F}" srcOrd="6" destOrd="0" parTransId="{CA07B11D-A281-4474-956D-CE017D55096D}" sibTransId="{23F1DCF5-3AF5-46F5-8EBA-1B227FFDA68A}"/>
    <dgm:cxn modelId="{64B9461D-EAC6-4AD6-8946-7E802054283C}" srcId="{D67F9A5A-5E88-44A1-939C-135CE3AF4041}" destId="{CF379588-8D99-446E-9DA3-7D31B1AC5467}" srcOrd="0" destOrd="0" parTransId="{C53496FF-16AA-4B86-9A97-C210D3425615}" sibTransId="{FA04A515-77A5-47E1-9A21-427002F75BBD}"/>
    <dgm:cxn modelId="{0F5FD01F-7C50-4552-ACA8-1BCD7B93BC0C}" type="presOf" srcId="{275C1FC4-3E17-4EB7-B629-3B18A2C22A68}" destId="{3BC1BA34-3099-48F7-ADCC-C59CA8F05523}" srcOrd="0" destOrd="5" presId="urn:microsoft.com/office/officeart/2005/8/layout/list1"/>
    <dgm:cxn modelId="{ABA36423-4ADF-4BC2-B9D4-4551354C1F10}" srcId="{DCD48D7A-4B03-4423-8CB5-5C5D79405805}" destId="{0E652C00-4F5E-4225-B0DE-1E16E467F052}" srcOrd="5" destOrd="0" parTransId="{6B4BA892-C7B2-40DA-97EE-3611027033ED}" sibTransId="{49049186-C28C-4B3F-A75E-A3310F719D8A}"/>
    <dgm:cxn modelId="{C7F3AF26-7028-4FBC-A3B8-442CFA4F4A7F}" type="presOf" srcId="{4A7800C9-7D3D-4FD3-A0C8-055EA574631C}" destId="{3BC1BA34-3099-48F7-ADCC-C59CA8F05523}" srcOrd="0" destOrd="1" presId="urn:microsoft.com/office/officeart/2005/8/layout/list1"/>
    <dgm:cxn modelId="{FAE50C2E-D4BD-46F3-ACBD-9DE02637A7D6}" srcId="{CF4F553E-C1BC-4366-8D1F-2538C739F34D}" destId="{C14DAE80-C9AD-4DF2-AB00-76A03871C660}" srcOrd="0" destOrd="0" parTransId="{1B35EC25-3A5D-44C3-8EC6-1F67B5E94F65}" sibTransId="{EB3C29DE-5BFD-45F2-B15E-ED5B03F68740}"/>
    <dgm:cxn modelId="{3F409E34-BFAE-45FE-A027-0ABAC99B8A84}" srcId="{38D6ECF3-9DC0-4FA5-AA85-AE678086D86F}" destId="{92E8A65F-F99F-488E-AF0A-565C72278797}" srcOrd="1" destOrd="0" parTransId="{66E38FC8-C18A-470F-A205-AE2365A9DE78}" sibTransId="{B79C7341-D380-4E6F-A6A3-3F12A56CC081}"/>
    <dgm:cxn modelId="{E923423D-189A-42D5-94FC-8E1EFC60C632}" type="presOf" srcId="{D49A736D-D090-4C3F-B7C8-90E12189F4E6}" destId="{35D5CD7D-3A20-4EB8-B442-65E54571D39E}" srcOrd="0" destOrd="0" presId="urn:microsoft.com/office/officeart/2005/8/layout/list1"/>
    <dgm:cxn modelId="{3BF7423E-3DB0-4A87-A18C-2FC41867B2B4}" srcId="{8069E184-766F-4E8B-A1E8-51EDBCF8B787}" destId="{4E33CAE3-BFA7-460A-ADA1-9740AF500CD1}" srcOrd="0" destOrd="0" parTransId="{9DB4B8DC-C792-4F88-B9F0-3F8C466B68ED}" sibTransId="{4C4701A6-649F-4B75-8728-83D55A5A5663}"/>
    <dgm:cxn modelId="{6E3F353F-69A6-470A-90DF-68C45401EC8C}" type="presOf" srcId="{CF4F553E-C1BC-4366-8D1F-2538C739F34D}" destId="{96E24B0A-8F37-4257-B7B3-645FB1DA6A85}" srcOrd="0" destOrd="0" presId="urn:microsoft.com/office/officeart/2005/8/layout/list1"/>
    <dgm:cxn modelId="{53E3005D-DDEB-4AC2-998E-187B375B14B2}" type="presOf" srcId="{4E33CAE3-BFA7-460A-ADA1-9740AF500CD1}" destId="{BEC4ABD6-0E89-47BE-B95E-5D5D71B73DA1}" srcOrd="0" destOrd="0" presId="urn:microsoft.com/office/officeart/2005/8/layout/list1"/>
    <dgm:cxn modelId="{387F9B62-BA72-46DA-93B7-D805807BFC03}" srcId="{717ECC8B-6813-4A27-9DC1-A0349E570257}" destId="{275C1FC4-3E17-4EB7-B629-3B18A2C22A68}" srcOrd="5" destOrd="0" parTransId="{47FF5181-689E-402C-BA5E-A7F036D82964}" sibTransId="{BD9B50B6-A249-4B4C-A504-6B8A26A3E4B7}"/>
    <dgm:cxn modelId="{66F80349-2184-4386-B9D3-B0DFF876CB84}" srcId="{0E652C00-4F5E-4225-B0DE-1E16E467F052}" destId="{6632AE42-4A3F-47A4-991F-05B67D9E15A4}" srcOrd="1" destOrd="0" parTransId="{EA24CD28-DA30-489E-812A-8D006AD804E2}" sibTransId="{413A0DEC-0431-4D0A-9CF6-9F28DD448962}"/>
    <dgm:cxn modelId="{91767749-E65F-449F-BD07-C9B78444673B}" type="presOf" srcId="{8069E184-766F-4E8B-A1E8-51EDBCF8B787}" destId="{C4175353-957F-4B0A-882A-9D65932C4C45}" srcOrd="1" destOrd="0" presId="urn:microsoft.com/office/officeart/2005/8/layout/list1"/>
    <dgm:cxn modelId="{14F3064A-33D5-4A50-A94F-22EB976BA100}" type="presOf" srcId="{789B5BC8-288B-4DDA-AB25-039F66BEA3B1}" destId="{35D5CD7D-3A20-4EB8-B442-65E54571D39E}" srcOrd="0" destOrd="1" presId="urn:microsoft.com/office/officeart/2005/8/layout/list1"/>
    <dgm:cxn modelId="{31AA144C-E5AF-41D8-8CB7-8A2D48F310D0}" type="presOf" srcId="{51776FAA-A67F-43C9-93A9-09460B1195D0}" destId="{06ACE6F8-0FA9-44AE-BA37-8718AB57D422}" srcOrd="0" destOrd="2" presId="urn:microsoft.com/office/officeart/2005/8/layout/list1"/>
    <dgm:cxn modelId="{47FA276C-8AB9-4C50-93CB-3C240B93E4C4}" srcId="{8069E184-766F-4E8B-A1E8-51EDBCF8B787}" destId="{C8F6D009-A118-4555-A677-CBA61BF6F0D5}" srcOrd="2" destOrd="0" parTransId="{C71E5930-069B-45A4-B7EB-02FF81630C0E}" sibTransId="{EC10895F-10B2-42FD-BCC8-4993E1130164}"/>
    <dgm:cxn modelId="{3673614D-FB3D-4D84-B4D5-C1C1FEB93DC6}" srcId="{D67F9A5A-5E88-44A1-939C-135CE3AF4041}" destId="{477C0414-2F64-47A3-9675-FE2E4F8C4A83}" srcOrd="3" destOrd="0" parTransId="{211F0972-F335-42CF-8898-D6AD2F24BDF4}" sibTransId="{8249E61B-7B06-45EC-87B1-4624BFB202FC}"/>
    <dgm:cxn modelId="{10D3294F-F4FE-4252-AA72-A2630A60CBB1}" type="presOf" srcId="{CF4F553E-C1BC-4366-8D1F-2538C739F34D}" destId="{72C2FA48-4513-4CD5-8267-CAFA222E040F}" srcOrd="1" destOrd="0" presId="urn:microsoft.com/office/officeart/2005/8/layout/list1"/>
    <dgm:cxn modelId="{CBF95272-9C66-408A-9CF3-C7F12DD60BBE}" srcId="{CF4F553E-C1BC-4366-8D1F-2538C739F34D}" destId="{2DDC3C6B-EB89-41BC-9626-2C8602AFD180}" srcOrd="2" destOrd="0" parTransId="{8CA01F60-749A-4F13-A5F9-52959A1E5ACD}" sibTransId="{4EF9A5D6-D9ED-4637-A11E-A0AF0603FCE7}"/>
    <dgm:cxn modelId="{5106C352-9084-428F-ABCE-4715AAA43E33}" type="presOf" srcId="{29647C36-AD56-480A-B274-AFD85B8257AC}" destId="{77262FC2-D56C-47EC-A6D3-390D5DF0E708}" srcOrd="0" destOrd="2" presId="urn:microsoft.com/office/officeart/2005/8/layout/list1"/>
    <dgm:cxn modelId="{4C31F452-932E-4B3C-A24D-BB317566F188}" type="presOf" srcId="{08ED7DEB-8B98-40A9-9699-ACCFB829DBE2}" destId="{BEC4ABD6-0E89-47BE-B95E-5D5D71B73DA1}" srcOrd="0" destOrd="1" presId="urn:microsoft.com/office/officeart/2005/8/layout/list1"/>
    <dgm:cxn modelId="{C57E6554-2260-4CA8-9E7D-8591D135E53F}" srcId="{2CB7F8B1-2637-4408-9185-3A95A2E4D4D4}" destId="{98B28FD7-1DA8-4B1D-A743-BD64C0AAE85A}" srcOrd="2" destOrd="0" parTransId="{6A5ADD14-5B36-4C8F-9B65-6460DDCE482E}" sibTransId="{55643889-0069-4635-8EFF-361433B6492D}"/>
    <dgm:cxn modelId="{56BF2655-C497-4B6B-B54F-A5D6AF560C8B}" type="presOf" srcId="{6632AE42-4A3F-47A4-991F-05B67D9E15A4}" destId="{FA8C06B1-BAA1-4827-A601-D14B18466DB6}" srcOrd="0" destOrd="1" presId="urn:microsoft.com/office/officeart/2005/8/layout/list1"/>
    <dgm:cxn modelId="{A2827875-87B0-4C3D-9E40-622962BC691D}" srcId="{DCD48D7A-4B03-4423-8CB5-5C5D79405805}" destId="{8069E184-766F-4E8B-A1E8-51EDBCF8B787}" srcOrd="1" destOrd="0" parTransId="{F64789F9-D1CE-4AFA-889E-41DC5016CFAB}" sibTransId="{93F1D987-E557-4E03-8C29-D08B5E8AAD1B}"/>
    <dgm:cxn modelId="{A43DF155-EDED-4348-8849-3FB54F8752F4}" srcId="{0E652C00-4F5E-4225-B0DE-1E16E467F052}" destId="{FDC96EDD-2D2E-424F-9793-6C67FBB810DD}" srcOrd="0" destOrd="0" parTransId="{C0F088F2-D816-422B-A598-8465D4C16265}" sibTransId="{D85BC74A-2C14-4596-B306-9B50E9FDF986}"/>
    <dgm:cxn modelId="{9515F576-512B-4C41-9F47-3A4D09823602}" type="presOf" srcId="{FDC96EDD-2D2E-424F-9793-6C67FBB810DD}" destId="{FA8C06B1-BAA1-4827-A601-D14B18466DB6}" srcOrd="0" destOrd="0" presId="urn:microsoft.com/office/officeart/2005/8/layout/list1"/>
    <dgm:cxn modelId="{F617155A-07A4-40C6-B9E5-6E820D5C2875}" srcId="{38D6ECF3-9DC0-4FA5-AA85-AE678086D86F}" destId="{29647C36-AD56-480A-B274-AFD85B8257AC}" srcOrd="2" destOrd="0" parTransId="{4CAE2BE9-B466-4310-88AB-C78BF23B7371}" sibTransId="{8B89DDF0-7CED-46E8-8F61-0B17466698FF}"/>
    <dgm:cxn modelId="{D226197F-CE6B-4E8C-8CDE-97726899C8AD}" type="presOf" srcId="{FB36F50F-332B-41E1-B818-61C37228C5CE}" destId="{4EFCDA67-9C44-44DD-A910-D775D3C6B542}" srcOrd="0" destOrd="1" presId="urn:microsoft.com/office/officeart/2005/8/layout/list1"/>
    <dgm:cxn modelId="{23E9C680-B431-4473-9AF5-E1D6CFC8BC2E}" type="presOf" srcId="{98B28FD7-1DA8-4B1D-A743-BD64C0AAE85A}" destId="{35D5CD7D-3A20-4EB8-B442-65E54571D39E}" srcOrd="0" destOrd="2" presId="urn:microsoft.com/office/officeart/2005/8/layout/list1"/>
    <dgm:cxn modelId="{6E1DD283-6A02-4C7B-967E-43E4F2241590}" srcId="{2CB7F8B1-2637-4408-9185-3A95A2E4D4D4}" destId="{D49A736D-D090-4C3F-B7C8-90E12189F4E6}" srcOrd="0" destOrd="0" parTransId="{6CB8211D-3027-42B8-8E1D-7F7CC0C2C2AF}" sibTransId="{085597EB-8A00-4F32-B9FE-6AE8F6AD66DB}"/>
    <dgm:cxn modelId="{49B31584-FEF4-4442-B336-882A9C197EAC}" type="presOf" srcId="{92E8A65F-F99F-488E-AF0A-565C72278797}" destId="{77262FC2-D56C-47EC-A6D3-390D5DF0E708}" srcOrd="0" destOrd="1" presId="urn:microsoft.com/office/officeart/2005/8/layout/list1"/>
    <dgm:cxn modelId="{72240C85-9D5C-458C-B319-EA4B04B6FA8A}" srcId="{D67F9A5A-5E88-44A1-939C-135CE3AF4041}" destId="{51776FAA-A67F-43C9-93A9-09460B1195D0}" srcOrd="2" destOrd="0" parTransId="{F49DC0A9-8665-4ADA-A379-AC107454A3ED}" sibTransId="{C8B4DFF5-5087-4292-AE4B-32507D166EBF}"/>
    <dgm:cxn modelId="{44A4FD8C-B715-4763-9E06-4EBC7F129D51}" srcId="{CF4F553E-C1BC-4366-8D1F-2538C739F34D}" destId="{FB36F50F-332B-41E1-B818-61C37228C5CE}" srcOrd="1" destOrd="0" parTransId="{1B402964-486C-4D88-B25B-BFBD3B7CB725}" sibTransId="{2F60FF59-EE81-4035-BCD0-A1A526D6233D}"/>
    <dgm:cxn modelId="{67B9198E-5C25-4F67-B9CB-41843459D987}" type="presOf" srcId="{C8F6D009-A118-4555-A677-CBA61BF6F0D5}" destId="{BEC4ABD6-0E89-47BE-B95E-5D5D71B73DA1}" srcOrd="0" destOrd="2" presId="urn:microsoft.com/office/officeart/2005/8/layout/list1"/>
    <dgm:cxn modelId="{E7A50992-9030-47C1-8E52-A2B896656A51}" type="presOf" srcId="{34106E7C-5D09-4727-92DE-E55E74AC51EE}" destId="{3BC1BA34-3099-48F7-ADCC-C59CA8F05523}" srcOrd="0" destOrd="4" presId="urn:microsoft.com/office/officeart/2005/8/layout/list1"/>
    <dgm:cxn modelId="{478F5893-B289-4B36-A04A-A02DEA40ACC3}" srcId="{8069E184-766F-4E8B-A1E8-51EDBCF8B787}" destId="{FFA71FF0-2ACD-4163-B043-1EB367B6C2B1}" srcOrd="3" destOrd="0" parTransId="{201802FC-6167-42F1-933E-394845600453}" sibTransId="{B39A6FB6-B160-47AD-A274-EF0DD243C32D}"/>
    <dgm:cxn modelId="{A8694B9B-DC05-4BB0-A409-CBB61FB7F639}" srcId="{2CB7F8B1-2637-4408-9185-3A95A2E4D4D4}" destId="{789B5BC8-288B-4DDA-AB25-039F66BEA3B1}" srcOrd="1" destOrd="0" parTransId="{20DF2F84-B159-462C-A073-B863B19CCFA9}" sibTransId="{F75FF99A-F150-48D0-B60B-5CB30D5A0E5A}"/>
    <dgm:cxn modelId="{B7FD2BA0-B80B-4666-86AB-099B7EA06341}" type="presOf" srcId="{E9D3C62B-362B-44C9-A42A-154B9DBAE91C}" destId="{FA8C06B1-BAA1-4827-A601-D14B18466DB6}" srcOrd="0" destOrd="2" presId="urn:microsoft.com/office/officeart/2005/8/layout/list1"/>
    <dgm:cxn modelId="{E88658A0-3BDE-454E-A794-8505E55DC105}" srcId="{DCD48D7A-4B03-4423-8CB5-5C5D79405805}" destId="{CF4F553E-C1BC-4366-8D1F-2538C739F34D}" srcOrd="4" destOrd="0" parTransId="{87729DE7-2820-4664-B237-4A95FE1E2F12}" sibTransId="{94558B0E-E006-4B59-8C83-CEE5060F8235}"/>
    <dgm:cxn modelId="{B6A3FAA2-72B7-4EDF-9F2B-07756CCFD145}" type="presOf" srcId="{0C7E1392-1B2E-4473-98A3-7DB95B0F3E41}" destId="{3BC1BA34-3099-48F7-ADCC-C59CA8F05523}" srcOrd="0" destOrd="3" presId="urn:microsoft.com/office/officeart/2005/8/layout/list1"/>
    <dgm:cxn modelId="{62C6A6A5-51AF-43F3-B103-5345821FAFEE}" srcId="{0E652C00-4F5E-4225-B0DE-1E16E467F052}" destId="{E9D3C62B-362B-44C9-A42A-154B9DBAE91C}" srcOrd="2" destOrd="0" parTransId="{C9AEF7BE-B561-478B-BAC4-CA5215113050}" sibTransId="{FFF495EB-AA84-4FB0-A607-B67EEC28EFF6}"/>
    <dgm:cxn modelId="{F5B463A9-1C63-49AF-836D-039CF3C3D222}" type="presOf" srcId="{CF379588-8D99-446E-9DA3-7D31B1AC5467}" destId="{06ACE6F8-0FA9-44AE-BA37-8718AB57D422}" srcOrd="0" destOrd="0" presId="urn:microsoft.com/office/officeart/2005/8/layout/list1"/>
    <dgm:cxn modelId="{C7759BAB-9FB4-42A6-99DA-5E5775983911}" type="presOf" srcId="{C14DAE80-C9AD-4DF2-AB00-76A03871C660}" destId="{4EFCDA67-9C44-44DD-A910-D775D3C6B542}" srcOrd="0" destOrd="0" presId="urn:microsoft.com/office/officeart/2005/8/layout/list1"/>
    <dgm:cxn modelId="{0CAB92AF-DA12-4A69-B592-C211B1603E46}" type="presOf" srcId="{F2356AF9-BEEF-4B44-8D11-6960D17AF916}" destId="{06ACE6F8-0FA9-44AE-BA37-8718AB57D422}" srcOrd="0" destOrd="1" presId="urn:microsoft.com/office/officeart/2005/8/layout/list1"/>
    <dgm:cxn modelId="{21FF54B0-7061-409D-AA77-9C011DC7E50B}" srcId="{717ECC8B-6813-4A27-9DC1-A0349E570257}" destId="{0C7E1392-1B2E-4473-98A3-7DB95B0F3E41}" srcOrd="3" destOrd="0" parTransId="{1BB85BBF-AE3C-4053-94E1-A07AA9D27118}" sibTransId="{170804D9-020B-4492-BDDC-2864E2B9B088}"/>
    <dgm:cxn modelId="{48FD79B7-0A80-4168-B74D-E45585C648D8}" srcId="{DCD48D7A-4B03-4423-8CB5-5C5D79405805}" destId="{717ECC8B-6813-4A27-9DC1-A0349E570257}" srcOrd="2" destOrd="0" parTransId="{D945DCAA-29DE-415E-9EC0-2EA9CDBA637F}" sibTransId="{60E19195-CF68-47DE-9785-66C048977208}"/>
    <dgm:cxn modelId="{794DEFC0-78A8-4CCF-9C86-48F2FE94417F}" type="presOf" srcId="{90932CD4-98AF-4D20-B3A5-3F4217DAB33C}" destId="{3BC1BA34-3099-48F7-ADCC-C59CA8F05523}" srcOrd="0" destOrd="0" presId="urn:microsoft.com/office/officeart/2005/8/layout/list1"/>
    <dgm:cxn modelId="{5B0414C2-1728-459D-B4A9-EB7A43C62996}" type="presOf" srcId="{717ECC8B-6813-4A27-9DC1-A0349E570257}" destId="{9702987D-0E97-487C-8CCC-50D92DF3BD3E}" srcOrd="0" destOrd="0" presId="urn:microsoft.com/office/officeart/2005/8/layout/list1"/>
    <dgm:cxn modelId="{5EFBE1C5-BAFA-4A4F-97DC-DCEC94D3930E}" type="presOf" srcId="{7AD3D970-693A-46CB-93F2-8719BB4A2138}" destId="{77262FC2-D56C-47EC-A6D3-390D5DF0E708}" srcOrd="0" destOrd="0" presId="urn:microsoft.com/office/officeart/2005/8/layout/list1"/>
    <dgm:cxn modelId="{B2CEC7D1-0EF3-43E8-A8C4-CA91F9F8B2C6}" srcId="{717ECC8B-6813-4A27-9DC1-A0349E570257}" destId="{320F87EC-CED1-4210-8A86-B8F3B4014BD7}" srcOrd="2" destOrd="0" parTransId="{3E66B59C-1F4A-4068-B805-1D0FD9DF5EB9}" sibTransId="{9C227A2C-DB8C-4F82-9033-31A1665D63A3}"/>
    <dgm:cxn modelId="{F0618CD4-2AC3-47D0-8F11-BACCD701AD92}" type="presOf" srcId="{717ECC8B-6813-4A27-9DC1-A0349E570257}" destId="{2F94551E-AD58-4389-A867-ACC7E854241D}" srcOrd="1" destOrd="0" presId="urn:microsoft.com/office/officeart/2005/8/layout/list1"/>
    <dgm:cxn modelId="{3C68E3D5-A553-46EE-8B80-FB51032E4800}" type="presOf" srcId="{2CB7F8B1-2637-4408-9185-3A95A2E4D4D4}" destId="{545F5493-E5D3-45CD-9407-AD3146FF5B66}" srcOrd="0" destOrd="0" presId="urn:microsoft.com/office/officeart/2005/8/layout/list1"/>
    <dgm:cxn modelId="{9A2394D6-DEA8-457C-A7F6-0CA60D78D7EA}" srcId="{8069E184-766F-4E8B-A1E8-51EDBCF8B787}" destId="{08ED7DEB-8B98-40A9-9699-ACCFB829DBE2}" srcOrd="1" destOrd="0" parTransId="{C96799B1-BF4C-4F01-9A1B-8BF2A3D32A1B}" sibTransId="{BC1C2EC9-649F-493C-B095-2F14FEE273F0}"/>
    <dgm:cxn modelId="{DB12D2DB-01C4-4C72-B613-D8E0FA85016F}" type="presOf" srcId="{D67F9A5A-5E88-44A1-939C-135CE3AF4041}" destId="{3B8B29A2-8F27-4747-815F-4C192BC39EFB}" srcOrd="0" destOrd="0" presId="urn:microsoft.com/office/officeart/2005/8/layout/list1"/>
    <dgm:cxn modelId="{AE5988E1-7C16-4B0A-ABF6-7C82ABA26687}" srcId="{2CB7F8B1-2637-4408-9185-3A95A2E4D4D4}" destId="{260FD557-A6C6-4FE3-8993-4A56E5810063}" srcOrd="3" destOrd="0" parTransId="{99DC8CBA-2F58-4241-815F-B0348FB0A095}" sibTransId="{F96C925A-00E1-4DCD-9FAA-8558FB848EF6}"/>
    <dgm:cxn modelId="{A78FA5E5-A2BA-4B5D-B58A-F79B8B58EBA0}" type="presOf" srcId="{2DDC3C6B-EB89-41BC-9626-2C8602AFD180}" destId="{4EFCDA67-9C44-44DD-A910-D775D3C6B542}" srcOrd="0" destOrd="2" presId="urn:microsoft.com/office/officeart/2005/8/layout/list1"/>
    <dgm:cxn modelId="{390B20E6-A9D0-40A0-91E1-C0FE58040D6E}" type="presOf" srcId="{260FD557-A6C6-4FE3-8993-4A56E5810063}" destId="{35D5CD7D-3A20-4EB8-B442-65E54571D39E}" srcOrd="0" destOrd="3" presId="urn:microsoft.com/office/officeart/2005/8/layout/list1"/>
    <dgm:cxn modelId="{6ECE81EC-BB4B-453C-92DD-2559DD914CE7}" type="presOf" srcId="{2CB7F8B1-2637-4408-9185-3A95A2E4D4D4}" destId="{E6E34545-7A70-45F5-AF30-5300FEAF0CB4}" srcOrd="1" destOrd="0" presId="urn:microsoft.com/office/officeart/2005/8/layout/list1"/>
    <dgm:cxn modelId="{C0D90BEF-14F4-437B-ACE6-480F7ECC25D2}" type="presOf" srcId="{38D6ECF3-9DC0-4FA5-AA85-AE678086D86F}" destId="{0BB363C2-1000-4D63-89E1-75C121258685}" srcOrd="1" destOrd="0" presId="urn:microsoft.com/office/officeart/2005/8/layout/list1"/>
    <dgm:cxn modelId="{AF2C1DF1-0917-4A12-AD82-87034F4AA6BD}" srcId="{717ECC8B-6813-4A27-9DC1-A0349E570257}" destId="{4A7800C9-7D3D-4FD3-A0C8-055EA574631C}" srcOrd="1" destOrd="0" parTransId="{E88C88D6-C647-44AC-8F34-1CDDF9D56EAE}" sibTransId="{011E79F5-D3D2-430D-AB83-E364AA563D3C}"/>
    <dgm:cxn modelId="{B83F70F1-0D48-4D91-8D66-89823BD64B2E}" type="presOf" srcId="{0E652C00-4F5E-4225-B0DE-1E16E467F052}" destId="{C7C02459-324F-4CBA-B9A7-D10266029FAC}" srcOrd="0" destOrd="0" presId="urn:microsoft.com/office/officeart/2005/8/layout/list1"/>
    <dgm:cxn modelId="{954406F2-1B59-4EB7-8571-C1BB56C70C82}" type="presOf" srcId="{320F87EC-CED1-4210-8A86-B8F3B4014BD7}" destId="{3BC1BA34-3099-48F7-ADCC-C59CA8F05523}" srcOrd="0" destOrd="2" presId="urn:microsoft.com/office/officeart/2005/8/layout/list1"/>
    <dgm:cxn modelId="{952D29FA-01DB-4FF4-B950-87A63CC80292}" srcId="{D67F9A5A-5E88-44A1-939C-135CE3AF4041}" destId="{F2356AF9-BEEF-4B44-8D11-6960D17AF916}" srcOrd="1" destOrd="0" parTransId="{30965C44-C041-42DC-BEED-B4376C8E6B72}" sibTransId="{B601354C-9FC2-4283-877B-28B5BED5CBBC}"/>
    <dgm:cxn modelId="{6C6EB5FC-FF88-485A-AB17-1DEBD14B1B4D}" srcId="{717ECC8B-6813-4A27-9DC1-A0349E570257}" destId="{34106E7C-5D09-4727-92DE-E55E74AC51EE}" srcOrd="4" destOrd="0" parTransId="{9975E2E8-9436-4F43-A130-25EADB8F15E6}" sibTransId="{55FD3231-A594-44A3-9758-E80BFF642EBF}"/>
    <dgm:cxn modelId="{01DF30FD-85F5-4932-8A85-620FE2B1C5CA}" type="presOf" srcId="{38D6ECF3-9DC0-4FA5-AA85-AE678086D86F}" destId="{A03587EF-2C72-4284-B879-B71BE0640BA4}" srcOrd="0" destOrd="0" presId="urn:microsoft.com/office/officeart/2005/8/layout/list1"/>
    <dgm:cxn modelId="{904368FD-DC32-48DB-BD7A-883A171FA293}" type="presOf" srcId="{FFA71FF0-2ACD-4163-B043-1EB367B6C2B1}" destId="{BEC4ABD6-0E89-47BE-B95E-5D5D71B73DA1}" srcOrd="0" destOrd="3" presId="urn:microsoft.com/office/officeart/2005/8/layout/list1"/>
    <dgm:cxn modelId="{B92E7B5B-5ADE-4591-92A7-719245B2AD0F}" type="presParOf" srcId="{1DEF4F99-0D10-4E54-A0BF-F9524F830250}" destId="{2FA5CF8F-DEE2-445C-8A9F-A5B19AA1EC66}" srcOrd="0" destOrd="0" presId="urn:microsoft.com/office/officeart/2005/8/layout/list1"/>
    <dgm:cxn modelId="{E8ACEB03-8C11-48E0-9F89-798762753AAF}" type="presParOf" srcId="{2FA5CF8F-DEE2-445C-8A9F-A5B19AA1EC66}" destId="{545F5493-E5D3-45CD-9407-AD3146FF5B66}" srcOrd="0" destOrd="0" presId="urn:microsoft.com/office/officeart/2005/8/layout/list1"/>
    <dgm:cxn modelId="{F7976DD7-6148-49DF-AE30-6575657687AC}" type="presParOf" srcId="{2FA5CF8F-DEE2-445C-8A9F-A5B19AA1EC66}" destId="{E6E34545-7A70-45F5-AF30-5300FEAF0CB4}" srcOrd="1" destOrd="0" presId="urn:microsoft.com/office/officeart/2005/8/layout/list1"/>
    <dgm:cxn modelId="{46349CF9-996B-4C69-8A51-D2A91B59E194}" type="presParOf" srcId="{1DEF4F99-0D10-4E54-A0BF-F9524F830250}" destId="{EF9B6E2C-EF0B-4D48-9074-55D69A90DE21}" srcOrd="1" destOrd="0" presId="urn:microsoft.com/office/officeart/2005/8/layout/list1"/>
    <dgm:cxn modelId="{17DBD6AA-7E6F-4A9B-B67D-F3A8A7577728}" type="presParOf" srcId="{1DEF4F99-0D10-4E54-A0BF-F9524F830250}" destId="{35D5CD7D-3A20-4EB8-B442-65E54571D39E}" srcOrd="2" destOrd="0" presId="urn:microsoft.com/office/officeart/2005/8/layout/list1"/>
    <dgm:cxn modelId="{1C37A869-82FE-4B80-BDF5-6ED5C6B5066A}" type="presParOf" srcId="{1DEF4F99-0D10-4E54-A0BF-F9524F830250}" destId="{AB83843B-19AA-4C45-ACB9-0772D543D28B}" srcOrd="3" destOrd="0" presId="urn:microsoft.com/office/officeart/2005/8/layout/list1"/>
    <dgm:cxn modelId="{01F7941A-C1DC-400C-A22E-08098C557A99}" type="presParOf" srcId="{1DEF4F99-0D10-4E54-A0BF-F9524F830250}" destId="{55019F05-739C-499C-85AD-7269005767A1}" srcOrd="4" destOrd="0" presId="urn:microsoft.com/office/officeart/2005/8/layout/list1"/>
    <dgm:cxn modelId="{2A2751FE-484A-4CCB-809E-3E2E4FA81898}" type="presParOf" srcId="{55019F05-739C-499C-85AD-7269005767A1}" destId="{8FFBFEAB-4C29-43E1-9195-E019257224C0}" srcOrd="0" destOrd="0" presId="urn:microsoft.com/office/officeart/2005/8/layout/list1"/>
    <dgm:cxn modelId="{2F3F4E5E-DAC1-49BB-AC8A-895AC27E1926}" type="presParOf" srcId="{55019F05-739C-499C-85AD-7269005767A1}" destId="{C4175353-957F-4B0A-882A-9D65932C4C45}" srcOrd="1" destOrd="0" presId="urn:microsoft.com/office/officeart/2005/8/layout/list1"/>
    <dgm:cxn modelId="{1B856F6E-8823-4D12-B9E4-88AFAFA9D6A0}" type="presParOf" srcId="{1DEF4F99-0D10-4E54-A0BF-F9524F830250}" destId="{0862C50F-306A-4E6B-A23B-07B15ECDE9F7}" srcOrd="5" destOrd="0" presId="urn:microsoft.com/office/officeart/2005/8/layout/list1"/>
    <dgm:cxn modelId="{F57112E8-3454-4083-BBBD-30CE65B2B5F0}" type="presParOf" srcId="{1DEF4F99-0D10-4E54-A0BF-F9524F830250}" destId="{BEC4ABD6-0E89-47BE-B95E-5D5D71B73DA1}" srcOrd="6" destOrd="0" presId="urn:microsoft.com/office/officeart/2005/8/layout/list1"/>
    <dgm:cxn modelId="{01416A79-E4D5-41EF-ACDC-5AC2D0AD3051}" type="presParOf" srcId="{1DEF4F99-0D10-4E54-A0BF-F9524F830250}" destId="{BEB87FCE-F499-4870-8AB0-98F9F509D50E}" srcOrd="7" destOrd="0" presId="urn:microsoft.com/office/officeart/2005/8/layout/list1"/>
    <dgm:cxn modelId="{01CEC07E-EA12-4AAE-A419-B39768B125E1}" type="presParOf" srcId="{1DEF4F99-0D10-4E54-A0BF-F9524F830250}" destId="{3AA816E6-3A8D-45C3-B0AF-DCE6C0F7D52F}" srcOrd="8" destOrd="0" presId="urn:microsoft.com/office/officeart/2005/8/layout/list1"/>
    <dgm:cxn modelId="{06E5AD61-B0EB-4D06-8DC0-4AA1274D8594}" type="presParOf" srcId="{3AA816E6-3A8D-45C3-B0AF-DCE6C0F7D52F}" destId="{9702987D-0E97-487C-8CCC-50D92DF3BD3E}" srcOrd="0" destOrd="0" presId="urn:microsoft.com/office/officeart/2005/8/layout/list1"/>
    <dgm:cxn modelId="{A0F5DAE7-CD07-4E4B-93D6-AE03007B0430}" type="presParOf" srcId="{3AA816E6-3A8D-45C3-B0AF-DCE6C0F7D52F}" destId="{2F94551E-AD58-4389-A867-ACC7E854241D}" srcOrd="1" destOrd="0" presId="urn:microsoft.com/office/officeart/2005/8/layout/list1"/>
    <dgm:cxn modelId="{EDE8B232-42AD-4977-9D1E-598A12AC400A}" type="presParOf" srcId="{1DEF4F99-0D10-4E54-A0BF-F9524F830250}" destId="{0B0D6F0B-4DEB-4B88-B257-B59830E60C59}" srcOrd="9" destOrd="0" presId="urn:microsoft.com/office/officeart/2005/8/layout/list1"/>
    <dgm:cxn modelId="{82CD3D1B-37A6-4680-8129-A69343179964}" type="presParOf" srcId="{1DEF4F99-0D10-4E54-A0BF-F9524F830250}" destId="{3BC1BA34-3099-48F7-ADCC-C59CA8F05523}" srcOrd="10" destOrd="0" presId="urn:microsoft.com/office/officeart/2005/8/layout/list1"/>
    <dgm:cxn modelId="{B43CF5A9-F8FF-4875-A8BC-B3DC3FB1FE9E}" type="presParOf" srcId="{1DEF4F99-0D10-4E54-A0BF-F9524F830250}" destId="{ED98C6C5-10F9-43FD-B588-4DD8CA453F1D}" srcOrd="11" destOrd="0" presId="urn:microsoft.com/office/officeart/2005/8/layout/list1"/>
    <dgm:cxn modelId="{C979183C-5784-4681-AAF3-723BC8467EF2}" type="presParOf" srcId="{1DEF4F99-0D10-4E54-A0BF-F9524F830250}" destId="{15A1C469-7C3A-4EBC-B23A-4CE4DD373580}" srcOrd="12" destOrd="0" presId="urn:microsoft.com/office/officeart/2005/8/layout/list1"/>
    <dgm:cxn modelId="{0231346E-9A4A-488D-89F0-4555CD99AB83}" type="presParOf" srcId="{15A1C469-7C3A-4EBC-B23A-4CE4DD373580}" destId="{3B8B29A2-8F27-4747-815F-4C192BC39EFB}" srcOrd="0" destOrd="0" presId="urn:microsoft.com/office/officeart/2005/8/layout/list1"/>
    <dgm:cxn modelId="{91953E05-6FDF-4877-AF56-909113686303}" type="presParOf" srcId="{15A1C469-7C3A-4EBC-B23A-4CE4DD373580}" destId="{514BAA5A-25A1-407B-9E98-4F585743FC17}" srcOrd="1" destOrd="0" presId="urn:microsoft.com/office/officeart/2005/8/layout/list1"/>
    <dgm:cxn modelId="{C8DCD7F2-9AF5-4F5A-818F-D4ADB4C36404}" type="presParOf" srcId="{1DEF4F99-0D10-4E54-A0BF-F9524F830250}" destId="{584AD0D6-0EBE-40B3-A5EF-BEFBE1FDD233}" srcOrd="13" destOrd="0" presId="urn:microsoft.com/office/officeart/2005/8/layout/list1"/>
    <dgm:cxn modelId="{7D69004A-BC61-402A-8697-6BD49A4D735A}" type="presParOf" srcId="{1DEF4F99-0D10-4E54-A0BF-F9524F830250}" destId="{06ACE6F8-0FA9-44AE-BA37-8718AB57D422}" srcOrd="14" destOrd="0" presId="urn:microsoft.com/office/officeart/2005/8/layout/list1"/>
    <dgm:cxn modelId="{344334B0-32A4-4349-9119-025C6A897213}" type="presParOf" srcId="{1DEF4F99-0D10-4E54-A0BF-F9524F830250}" destId="{728F8364-6B69-4FB1-8CEE-FE0453B48F74}" srcOrd="15" destOrd="0" presId="urn:microsoft.com/office/officeart/2005/8/layout/list1"/>
    <dgm:cxn modelId="{80FAF5EF-4AD2-4C11-AFAE-1819C2CDB93F}" type="presParOf" srcId="{1DEF4F99-0D10-4E54-A0BF-F9524F830250}" destId="{2FED5211-A15F-4937-8626-A219A5AF8F6A}" srcOrd="16" destOrd="0" presId="urn:microsoft.com/office/officeart/2005/8/layout/list1"/>
    <dgm:cxn modelId="{E671E8AC-AC5E-43D9-BED2-992CC14D383F}" type="presParOf" srcId="{2FED5211-A15F-4937-8626-A219A5AF8F6A}" destId="{96E24B0A-8F37-4257-B7B3-645FB1DA6A85}" srcOrd="0" destOrd="0" presId="urn:microsoft.com/office/officeart/2005/8/layout/list1"/>
    <dgm:cxn modelId="{5B7DC432-0D72-4887-B946-6736936DD655}" type="presParOf" srcId="{2FED5211-A15F-4937-8626-A219A5AF8F6A}" destId="{72C2FA48-4513-4CD5-8267-CAFA222E040F}" srcOrd="1" destOrd="0" presId="urn:microsoft.com/office/officeart/2005/8/layout/list1"/>
    <dgm:cxn modelId="{45EAE907-CAB6-4750-95C2-EF481439338A}" type="presParOf" srcId="{1DEF4F99-0D10-4E54-A0BF-F9524F830250}" destId="{C5574D53-E5B2-4961-BC19-B9AEEE8D8A74}" srcOrd="17" destOrd="0" presId="urn:microsoft.com/office/officeart/2005/8/layout/list1"/>
    <dgm:cxn modelId="{4B2A3E9B-B5B4-4EDB-82EA-341335609F09}" type="presParOf" srcId="{1DEF4F99-0D10-4E54-A0BF-F9524F830250}" destId="{4EFCDA67-9C44-44DD-A910-D775D3C6B542}" srcOrd="18" destOrd="0" presId="urn:microsoft.com/office/officeart/2005/8/layout/list1"/>
    <dgm:cxn modelId="{B816D2F2-A1B1-4E7F-9104-AB9EA0D45B23}" type="presParOf" srcId="{1DEF4F99-0D10-4E54-A0BF-F9524F830250}" destId="{44903029-1598-44FF-927B-4388D5E8763C}" srcOrd="19" destOrd="0" presId="urn:microsoft.com/office/officeart/2005/8/layout/list1"/>
    <dgm:cxn modelId="{A29166E1-DE26-44A4-8B03-06E6518791E9}" type="presParOf" srcId="{1DEF4F99-0D10-4E54-A0BF-F9524F830250}" destId="{86EE8AB6-545B-4020-AEC6-19F34F74D919}" srcOrd="20" destOrd="0" presId="urn:microsoft.com/office/officeart/2005/8/layout/list1"/>
    <dgm:cxn modelId="{EF2ED5C2-3848-4BB9-8CC4-6BCAC350D4EC}" type="presParOf" srcId="{86EE8AB6-545B-4020-AEC6-19F34F74D919}" destId="{C7C02459-324F-4CBA-B9A7-D10266029FAC}" srcOrd="0" destOrd="0" presId="urn:microsoft.com/office/officeart/2005/8/layout/list1"/>
    <dgm:cxn modelId="{3338D99A-2155-4494-8EBF-459ED548B678}" type="presParOf" srcId="{86EE8AB6-545B-4020-AEC6-19F34F74D919}" destId="{4E9F94DE-8CF1-4FE7-9A6B-53CB416743FC}" srcOrd="1" destOrd="0" presId="urn:microsoft.com/office/officeart/2005/8/layout/list1"/>
    <dgm:cxn modelId="{74414219-6157-408A-822A-EA07B7C194AB}" type="presParOf" srcId="{1DEF4F99-0D10-4E54-A0BF-F9524F830250}" destId="{DD8C64AD-F0AB-4DAF-BD3D-6848B3517AE4}" srcOrd="21" destOrd="0" presId="urn:microsoft.com/office/officeart/2005/8/layout/list1"/>
    <dgm:cxn modelId="{F5D3B5F4-CEBB-433C-B2AD-3803B8716A8B}" type="presParOf" srcId="{1DEF4F99-0D10-4E54-A0BF-F9524F830250}" destId="{FA8C06B1-BAA1-4827-A601-D14B18466DB6}" srcOrd="22" destOrd="0" presId="urn:microsoft.com/office/officeart/2005/8/layout/list1"/>
    <dgm:cxn modelId="{A803F878-728E-4CFA-B8B2-00668EE36383}" type="presParOf" srcId="{1DEF4F99-0D10-4E54-A0BF-F9524F830250}" destId="{D62CC520-BE4A-45F5-85CF-6F1FF6479E7B}" srcOrd="23" destOrd="0" presId="urn:microsoft.com/office/officeart/2005/8/layout/list1"/>
    <dgm:cxn modelId="{DCEE19FE-0ACA-4954-A721-ED112609D70A}" type="presParOf" srcId="{1DEF4F99-0D10-4E54-A0BF-F9524F830250}" destId="{0ACFCED0-6DBF-47C9-BEFF-1C22DE7DB9F3}" srcOrd="24" destOrd="0" presId="urn:microsoft.com/office/officeart/2005/8/layout/list1"/>
    <dgm:cxn modelId="{1C2278A3-6134-4178-B80E-247B003D802F}" type="presParOf" srcId="{0ACFCED0-6DBF-47C9-BEFF-1C22DE7DB9F3}" destId="{A03587EF-2C72-4284-B879-B71BE0640BA4}" srcOrd="0" destOrd="0" presId="urn:microsoft.com/office/officeart/2005/8/layout/list1"/>
    <dgm:cxn modelId="{DEB5A732-F0EC-470D-B8C4-2D7C207DFA1E}" type="presParOf" srcId="{0ACFCED0-6DBF-47C9-BEFF-1C22DE7DB9F3}" destId="{0BB363C2-1000-4D63-89E1-75C121258685}" srcOrd="1" destOrd="0" presId="urn:microsoft.com/office/officeart/2005/8/layout/list1"/>
    <dgm:cxn modelId="{6945B4C4-0BC5-42FB-BFA7-FABB3283E796}" type="presParOf" srcId="{1DEF4F99-0D10-4E54-A0BF-F9524F830250}" destId="{C9B2B30D-0668-43BB-8909-432202A9EDB4}" srcOrd="25" destOrd="0" presId="urn:microsoft.com/office/officeart/2005/8/layout/list1"/>
    <dgm:cxn modelId="{84F08611-1361-4090-B1A3-46606F5DDDE0}" type="presParOf" srcId="{1DEF4F99-0D10-4E54-A0BF-F9524F830250}" destId="{77262FC2-D56C-47EC-A6D3-390D5DF0E708}" srcOrd="26" destOrd="0" presId="urn:microsoft.com/office/officeart/2005/8/layout/list1"/>
  </dgm:cxnLst>
  <dgm:bg/>
  <dgm:whole/>
  <dgm:extLst>
    <a:ext uri="http://schemas.microsoft.com/office/drawing/2008/diagram">
      <dsp:dataModelExt xmlns:dsp="http://schemas.microsoft.com/office/drawing/2008/diagram" relId="rId6"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5D5CD7D-3A20-4EB8-B442-65E54571D39E}">
      <dsp:nvSpPr>
        <dsp:cNvPr id="0" name=""/>
        <dsp:cNvSpPr/>
      </dsp:nvSpPr>
      <dsp:spPr>
        <a:xfrm>
          <a:off x="0" y="495634"/>
          <a:ext cx="3844925" cy="1047375"/>
        </a:xfrm>
        <a:prstGeom prst="rect">
          <a:avLst/>
        </a:prstGeom>
        <a:solidFill>
          <a:schemeClr val="lt1">
            <a:alpha val="90000"/>
            <a:hueOff val="0"/>
            <a:satOff val="0"/>
            <a:lumOff val="0"/>
            <a:alphaOff val="0"/>
          </a:schemeClr>
        </a:solidFill>
        <a:ln w="12700" cap="flat" cmpd="sng" algn="ctr">
          <a:solidFill>
            <a:schemeClr val="accent5">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98409" tIns="270764" rIns="298409" bIns="64008" numCol="1" spcCol="1270" anchor="t" anchorCtr="0">
          <a:noAutofit/>
        </a:bodyPr>
        <a:lstStyle/>
        <a:p>
          <a:pPr marL="57150" lvl="1" indent="-57150" algn="l" defTabSz="400050">
            <a:lnSpc>
              <a:spcPct val="90000"/>
            </a:lnSpc>
            <a:spcBef>
              <a:spcPct val="0"/>
            </a:spcBef>
            <a:spcAft>
              <a:spcPct val="15000"/>
            </a:spcAft>
            <a:buChar char="•"/>
          </a:pPr>
          <a:r>
            <a:rPr lang="es-CO" sz="900" kern="1200"/>
            <a:t>Definición de la unidad objeto de ordenación forestal</a:t>
          </a:r>
        </a:p>
        <a:p>
          <a:pPr marL="57150" lvl="1" indent="-57150" algn="l" defTabSz="400050">
            <a:lnSpc>
              <a:spcPct val="90000"/>
            </a:lnSpc>
            <a:spcBef>
              <a:spcPct val="0"/>
            </a:spcBef>
            <a:spcAft>
              <a:spcPct val="15000"/>
            </a:spcAft>
            <a:buChar char="•"/>
          </a:pPr>
          <a:r>
            <a:rPr lang="es-CO" sz="900" kern="1200"/>
            <a:t>Asignación de recursos</a:t>
          </a:r>
        </a:p>
        <a:p>
          <a:pPr marL="57150" lvl="1" indent="-57150" algn="l" defTabSz="400050">
            <a:lnSpc>
              <a:spcPct val="90000"/>
            </a:lnSpc>
            <a:spcBef>
              <a:spcPct val="0"/>
            </a:spcBef>
            <a:spcAft>
              <a:spcPct val="15000"/>
            </a:spcAft>
            <a:buChar char="•"/>
          </a:pPr>
          <a:r>
            <a:rPr lang="es-CO" sz="900" kern="1200"/>
            <a:t>Inicio del proceso pre y contractual</a:t>
          </a:r>
        </a:p>
        <a:p>
          <a:pPr marL="57150" lvl="1" indent="-57150" algn="l" defTabSz="400050">
            <a:lnSpc>
              <a:spcPct val="90000"/>
            </a:lnSpc>
            <a:spcBef>
              <a:spcPct val="0"/>
            </a:spcBef>
            <a:spcAft>
              <a:spcPct val="15000"/>
            </a:spcAft>
            <a:buChar char="•"/>
          </a:pPr>
          <a:r>
            <a:rPr lang="es-CO" sz="900" kern="1200"/>
            <a:t>Conformación del equipo de trabajo  </a:t>
          </a:r>
        </a:p>
      </dsp:txBody>
      <dsp:txXfrm>
        <a:off x="0" y="495634"/>
        <a:ext cx="3844925" cy="1047375"/>
      </dsp:txXfrm>
    </dsp:sp>
    <dsp:sp modelId="{E6E34545-7A70-45F5-AF30-5300FEAF0CB4}">
      <dsp:nvSpPr>
        <dsp:cNvPr id="0" name=""/>
        <dsp:cNvSpPr/>
      </dsp:nvSpPr>
      <dsp:spPr>
        <a:xfrm>
          <a:off x="192246" y="146901"/>
          <a:ext cx="2691447" cy="560880"/>
        </a:xfrm>
        <a:prstGeom prst="roundRect">
          <a:avLst/>
        </a:prstGeom>
        <a:solidFill>
          <a:schemeClr val="accent5">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01730" tIns="0" rIns="101730" bIns="0" numCol="1" spcCol="1270" anchor="ctr" anchorCtr="0">
          <a:noAutofit/>
        </a:bodyPr>
        <a:lstStyle/>
        <a:p>
          <a:pPr marL="0" lvl="0" indent="0" algn="l" defTabSz="400050">
            <a:lnSpc>
              <a:spcPct val="90000"/>
            </a:lnSpc>
            <a:spcBef>
              <a:spcPct val="0"/>
            </a:spcBef>
            <a:spcAft>
              <a:spcPct val="35000"/>
            </a:spcAft>
            <a:buNone/>
          </a:pPr>
          <a:r>
            <a:rPr lang="es-CO" sz="900" b="1" kern="1200"/>
            <a:t>1. FASE DE PREPARACION</a:t>
          </a:r>
        </a:p>
      </dsp:txBody>
      <dsp:txXfrm>
        <a:off x="219626" y="174281"/>
        <a:ext cx="2636687" cy="506120"/>
      </dsp:txXfrm>
    </dsp:sp>
    <dsp:sp modelId="{BEC4ABD6-0E89-47BE-B95E-5D5D71B73DA1}">
      <dsp:nvSpPr>
        <dsp:cNvPr id="0" name=""/>
        <dsp:cNvSpPr/>
      </dsp:nvSpPr>
      <dsp:spPr>
        <a:xfrm>
          <a:off x="0" y="1926049"/>
          <a:ext cx="3844925" cy="1167075"/>
        </a:xfrm>
        <a:prstGeom prst="rect">
          <a:avLst/>
        </a:prstGeom>
        <a:solidFill>
          <a:schemeClr val="lt1">
            <a:alpha val="90000"/>
            <a:hueOff val="0"/>
            <a:satOff val="0"/>
            <a:lumOff val="0"/>
            <a:alphaOff val="0"/>
          </a:schemeClr>
        </a:solidFill>
        <a:ln w="12700" cap="flat" cmpd="sng" algn="ctr">
          <a:solidFill>
            <a:schemeClr val="accent5">
              <a:hueOff val="-1225557"/>
              <a:satOff val="-1705"/>
              <a:lumOff val="-654"/>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98409" tIns="270764" rIns="298409" bIns="64008" numCol="1" spcCol="1270" anchor="t" anchorCtr="0">
          <a:noAutofit/>
        </a:bodyPr>
        <a:lstStyle/>
        <a:p>
          <a:pPr marL="57150" lvl="1" indent="-57150" algn="l" defTabSz="400050">
            <a:lnSpc>
              <a:spcPct val="90000"/>
            </a:lnSpc>
            <a:spcBef>
              <a:spcPct val="0"/>
            </a:spcBef>
            <a:spcAft>
              <a:spcPct val="15000"/>
            </a:spcAft>
            <a:buChar char="•"/>
          </a:pPr>
          <a:r>
            <a:rPr lang="es-CO" sz="900" kern="1200"/>
            <a:t>Consulta, validación y digitalización de información secundaria</a:t>
          </a:r>
        </a:p>
        <a:p>
          <a:pPr marL="57150" lvl="1" indent="-57150" algn="l" defTabSz="400050">
            <a:lnSpc>
              <a:spcPct val="90000"/>
            </a:lnSpc>
            <a:spcBef>
              <a:spcPct val="0"/>
            </a:spcBef>
            <a:spcAft>
              <a:spcPct val="15000"/>
            </a:spcAft>
            <a:buChar char="•"/>
          </a:pPr>
          <a:r>
            <a:rPr lang="es-CO" sz="900" kern="1200"/>
            <a:t>Procesamiento e interpretación de imágenes satelitales</a:t>
          </a:r>
        </a:p>
        <a:p>
          <a:pPr marL="57150" lvl="1" indent="-57150" algn="l" defTabSz="400050">
            <a:lnSpc>
              <a:spcPct val="90000"/>
            </a:lnSpc>
            <a:spcBef>
              <a:spcPct val="0"/>
            </a:spcBef>
            <a:spcAft>
              <a:spcPct val="15000"/>
            </a:spcAft>
            <a:buChar char="•"/>
          </a:pPr>
          <a:r>
            <a:rPr lang="es-CO" sz="900" kern="1200"/>
            <a:t>Generación de información cartográfica preliminar</a:t>
          </a:r>
        </a:p>
        <a:p>
          <a:pPr marL="57150" lvl="1" indent="-57150" algn="l" defTabSz="400050">
            <a:lnSpc>
              <a:spcPct val="90000"/>
            </a:lnSpc>
            <a:spcBef>
              <a:spcPct val="0"/>
            </a:spcBef>
            <a:spcAft>
              <a:spcPct val="15000"/>
            </a:spcAft>
            <a:buChar char="•"/>
          </a:pPr>
          <a:r>
            <a:rPr lang="es-CO" sz="900" kern="1200"/>
            <a:t>Definición de metodología para levantamiento de información primaria</a:t>
          </a:r>
        </a:p>
      </dsp:txBody>
      <dsp:txXfrm>
        <a:off x="0" y="1926049"/>
        <a:ext cx="3844925" cy="1167075"/>
      </dsp:txXfrm>
    </dsp:sp>
    <dsp:sp modelId="{C4175353-957F-4B0A-882A-9D65932C4C45}">
      <dsp:nvSpPr>
        <dsp:cNvPr id="0" name=""/>
        <dsp:cNvSpPr/>
      </dsp:nvSpPr>
      <dsp:spPr>
        <a:xfrm>
          <a:off x="207354" y="1629489"/>
          <a:ext cx="2691447" cy="560880"/>
        </a:xfrm>
        <a:prstGeom prst="roundRect">
          <a:avLst/>
        </a:prstGeom>
        <a:solidFill>
          <a:schemeClr val="accent5">
            <a:hueOff val="-1225557"/>
            <a:satOff val="-1705"/>
            <a:lumOff val="-654"/>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01730" tIns="0" rIns="101730" bIns="0" numCol="1" spcCol="1270" anchor="ctr" anchorCtr="0">
          <a:noAutofit/>
        </a:bodyPr>
        <a:lstStyle/>
        <a:p>
          <a:pPr marL="0" lvl="0" indent="0" algn="l" defTabSz="400050">
            <a:lnSpc>
              <a:spcPct val="90000"/>
            </a:lnSpc>
            <a:spcBef>
              <a:spcPct val="0"/>
            </a:spcBef>
            <a:spcAft>
              <a:spcPct val="35000"/>
            </a:spcAft>
            <a:buNone/>
          </a:pPr>
          <a:r>
            <a:rPr lang="es-CO" sz="900" b="1" kern="1200"/>
            <a:t>2. FASE DE APRESTAMIENTO</a:t>
          </a:r>
        </a:p>
      </dsp:txBody>
      <dsp:txXfrm>
        <a:off x="234734" y="1656869"/>
        <a:ext cx="2636687" cy="506120"/>
      </dsp:txXfrm>
    </dsp:sp>
    <dsp:sp modelId="{3BC1BA34-3099-48F7-ADCC-C59CA8F05523}">
      <dsp:nvSpPr>
        <dsp:cNvPr id="0" name=""/>
        <dsp:cNvSpPr/>
      </dsp:nvSpPr>
      <dsp:spPr>
        <a:xfrm>
          <a:off x="0" y="3476163"/>
          <a:ext cx="3844925" cy="1370016"/>
        </a:xfrm>
        <a:prstGeom prst="rect">
          <a:avLst/>
        </a:prstGeom>
        <a:solidFill>
          <a:schemeClr val="lt1">
            <a:alpha val="90000"/>
            <a:hueOff val="0"/>
            <a:satOff val="0"/>
            <a:lumOff val="0"/>
            <a:alphaOff val="0"/>
          </a:schemeClr>
        </a:solidFill>
        <a:ln w="12700" cap="flat" cmpd="sng" algn="ctr">
          <a:solidFill>
            <a:schemeClr val="accent5">
              <a:hueOff val="-2451115"/>
              <a:satOff val="-3409"/>
              <a:lumOff val="-1307"/>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98409" tIns="270764" rIns="298409" bIns="64008" numCol="1" spcCol="1270" anchor="t" anchorCtr="0">
          <a:noAutofit/>
        </a:bodyPr>
        <a:lstStyle/>
        <a:p>
          <a:pPr marL="57150" lvl="1" indent="-57150" algn="l" defTabSz="400050">
            <a:lnSpc>
              <a:spcPct val="90000"/>
            </a:lnSpc>
            <a:spcBef>
              <a:spcPct val="0"/>
            </a:spcBef>
            <a:spcAft>
              <a:spcPct val="15000"/>
            </a:spcAft>
            <a:buChar char="•"/>
          </a:pPr>
          <a:r>
            <a:rPr lang="es-CO" sz="900" kern="1200"/>
            <a:t>Socialización y acuerdos con actores regionales y locales</a:t>
          </a:r>
        </a:p>
        <a:p>
          <a:pPr marL="57150" lvl="1" indent="-57150" algn="l" defTabSz="400050">
            <a:lnSpc>
              <a:spcPct val="90000"/>
            </a:lnSpc>
            <a:spcBef>
              <a:spcPct val="0"/>
            </a:spcBef>
            <a:spcAft>
              <a:spcPct val="15000"/>
            </a:spcAft>
            <a:buChar char="•"/>
          </a:pPr>
          <a:r>
            <a:rPr lang="es-CO" sz="900" kern="1200"/>
            <a:t>Chequeo cartografía en campo</a:t>
          </a:r>
        </a:p>
        <a:p>
          <a:pPr marL="57150" lvl="1" indent="-57150" algn="l" defTabSz="400050">
            <a:lnSpc>
              <a:spcPct val="90000"/>
            </a:lnSpc>
            <a:spcBef>
              <a:spcPct val="0"/>
            </a:spcBef>
            <a:spcAft>
              <a:spcPct val="15000"/>
            </a:spcAft>
            <a:buChar char="•"/>
          </a:pPr>
          <a:r>
            <a:rPr lang="es-CO" sz="900" kern="1200"/>
            <a:t>Desarrollo del premuestreo, ajuste y realización del inventario forestal</a:t>
          </a:r>
        </a:p>
        <a:p>
          <a:pPr marL="57150" lvl="1" indent="-57150" algn="l" defTabSz="400050">
            <a:lnSpc>
              <a:spcPct val="90000"/>
            </a:lnSpc>
            <a:spcBef>
              <a:spcPct val="0"/>
            </a:spcBef>
            <a:spcAft>
              <a:spcPct val="15000"/>
            </a:spcAft>
            <a:buChar char="•"/>
          </a:pPr>
          <a:r>
            <a:rPr lang="es-CO" sz="900" kern="1200"/>
            <a:t>Desarrollo del componente fauna</a:t>
          </a:r>
        </a:p>
        <a:p>
          <a:pPr marL="57150" lvl="1" indent="-57150" algn="l" defTabSz="400050">
            <a:lnSpc>
              <a:spcPct val="90000"/>
            </a:lnSpc>
            <a:spcBef>
              <a:spcPct val="0"/>
            </a:spcBef>
            <a:spcAft>
              <a:spcPct val="15000"/>
            </a:spcAft>
            <a:buChar char="•"/>
          </a:pPr>
          <a:r>
            <a:rPr lang="es-CO" sz="900" kern="1200"/>
            <a:t>Desarrollo del componente socieconomico</a:t>
          </a:r>
        </a:p>
        <a:p>
          <a:pPr marL="57150" lvl="1" indent="-57150" algn="l" defTabSz="400050">
            <a:lnSpc>
              <a:spcPct val="90000"/>
            </a:lnSpc>
            <a:spcBef>
              <a:spcPct val="0"/>
            </a:spcBef>
            <a:spcAft>
              <a:spcPct val="15000"/>
            </a:spcAft>
            <a:buChar char="•"/>
          </a:pPr>
          <a:r>
            <a:rPr lang="es-CO" sz="900" kern="1200"/>
            <a:t>Desarrollo del componente suelos</a:t>
          </a:r>
        </a:p>
      </dsp:txBody>
      <dsp:txXfrm>
        <a:off x="0" y="3476163"/>
        <a:ext cx="3844925" cy="1370016"/>
      </dsp:txXfrm>
    </dsp:sp>
    <dsp:sp modelId="{2F94551E-AD58-4389-A867-ACC7E854241D}">
      <dsp:nvSpPr>
        <dsp:cNvPr id="0" name=""/>
        <dsp:cNvSpPr/>
      </dsp:nvSpPr>
      <dsp:spPr>
        <a:xfrm>
          <a:off x="184690" y="3179604"/>
          <a:ext cx="2691447" cy="560880"/>
        </a:xfrm>
        <a:prstGeom prst="roundRect">
          <a:avLst/>
        </a:prstGeom>
        <a:solidFill>
          <a:schemeClr val="accent5">
            <a:hueOff val="-2451115"/>
            <a:satOff val="-3409"/>
            <a:lumOff val="-1307"/>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01730" tIns="0" rIns="101730" bIns="0" numCol="1" spcCol="1270" anchor="ctr" anchorCtr="0">
          <a:noAutofit/>
        </a:bodyPr>
        <a:lstStyle/>
        <a:p>
          <a:pPr marL="0" lvl="0" indent="0" algn="l" defTabSz="400050">
            <a:lnSpc>
              <a:spcPct val="90000"/>
            </a:lnSpc>
            <a:spcBef>
              <a:spcPct val="0"/>
            </a:spcBef>
            <a:spcAft>
              <a:spcPct val="35000"/>
            </a:spcAft>
            <a:buNone/>
          </a:pPr>
          <a:r>
            <a:rPr lang="es-CO" sz="900" b="1" kern="1200"/>
            <a:t>3. FASE  LOGISTICA Y OPERATIVA</a:t>
          </a:r>
        </a:p>
      </dsp:txBody>
      <dsp:txXfrm>
        <a:off x="212070" y="3206984"/>
        <a:ext cx="2636687" cy="506120"/>
      </dsp:txXfrm>
    </dsp:sp>
    <dsp:sp modelId="{06ACE6F8-0FA9-44AE-BA37-8718AB57D422}">
      <dsp:nvSpPr>
        <dsp:cNvPr id="0" name=""/>
        <dsp:cNvSpPr/>
      </dsp:nvSpPr>
      <dsp:spPr>
        <a:xfrm>
          <a:off x="0" y="5270192"/>
          <a:ext cx="3844925" cy="1167075"/>
        </a:xfrm>
        <a:prstGeom prst="rect">
          <a:avLst/>
        </a:prstGeom>
        <a:solidFill>
          <a:schemeClr val="lt1">
            <a:alpha val="90000"/>
            <a:hueOff val="0"/>
            <a:satOff val="0"/>
            <a:lumOff val="0"/>
            <a:alphaOff val="0"/>
          </a:schemeClr>
        </a:solidFill>
        <a:ln w="12700" cap="flat" cmpd="sng" algn="ctr">
          <a:solidFill>
            <a:schemeClr val="accent5">
              <a:hueOff val="-3676672"/>
              <a:satOff val="-5114"/>
              <a:lumOff val="-1961"/>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98409" tIns="270764" rIns="298409" bIns="64008" numCol="1" spcCol="1270" anchor="t" anchorCtr="0">
          <a:noAutofit/>
        </a:bodyPr>
        <a:lstStyle/>
        <a:p>
          <a:pPr marL="57150" lvl="1" indent="-57150" algn="l" defTabSz="400050">
            <a:lnSpc>
              <a:spcPct val="90000"/>
            </a:lnSpc>
            <a:spcBef>
              <a:spcPct val="0"/>
            </a:spcBef>
            <a:spcAft>
              <a:spcPct val="15000"/>
            </a:spcAft>
            <a:buChar char="•"/>
          </a:pPr>
          <a:r>
            <a:rPr lang="es-CO" sz="900" kern="1200"/>
            <a:t>Procesamiento y análisis de información primaria</a:t>
          </a:r>
        </a:p>
        <a:p>
          <a:pPr marL="57150" lvl="1" indent="-57150" algn="l" defTabSz="400050">
            <a:lnSpc>
              <a:spcPct val="90000"/>
            </a:lnSpc>
            <a:spcBef>
              <a:spcPct val="0"/>
            </a:spcBef>
            <a:spcAft>
              <a:spcPct val="15000"/>
            </a:spcAft>
            <a:buChar char="•"/>
          </a:pPr>
          <a:r>
            <a:rPr lang="es-CO" sz="900" kern="1200"/>
            <a:t>Propuesta zonificación inicial de la UOF</a:t>
          </a:r>
        </a:p>
        <a:p>
          <a:pPr marL="57150" lvl="1" indent="-57150" algn="l" defTabSz="400050">
            <a:lnSpc>
              <a:spcPct val="90000"/>
            </a:lnSpc>
            <a:spcBef>
              <a:spcPct val="0"/>
            </a:spcBef>
            <a:spcAft>
              <a:spcPct val="15000"/>
            </a:spcAft>
            <a:buChar char="•"/>
          </a:pPr>
          <a:r>
            <a:rPr lang="es-CO" sz="900" kern="1200"/>
            <a:t>Propuesta de zonificación de las áreas forestales que componen la UOF</a:t>
          </a:r>
        </a:p>
        <a:p>
          <a:pPr marL="57150" lvl="1" indent="-57150" algn="l" defTabSz="400050">
            <a:lnSpc>
              <a:spcPct val="90000"/>
            </a:lnSpc>
            <a:spcBef>
              <a:spcPct val="0"/>
            </a:spcBef>
            <a:spcAft>
              <a:spcPct val="15000"/>
            </a:spcAft>
            <a:buChar char="•"/>
          </a:pPr>
          <a:r>
            <a:rPr lang="es-CO" sz="900" kern="1200"/>
            <a:t> Formulación del POF para cada área forestal de la UOF</a:t>
          </a:r>
        </a:p>
      </dsp:txBody>
      <dsp:txXfrm>
        <a:off x="0" y="5270192"/>
        <a:ext cx="3844925" cy="1167075"/>
      </dsp:txXfrm>
    </dsp:sp>
    <dsp:sp modelId="{514BAA5A-25A1-407B-9E98-4F585743FC17}">
      <dsp:nvSpPr>
        <dsp:cNvPr id="0" name=""/>
        <dsp:cNvSpPr/>
      </dsp:nvSpPr>
      <dsp:spPr>
        <a:xfrm>
          <a:off x="192246" y="4932661"/>
          <a:ext cx="2691447" cy="560880"/>
        </a:xfrm>
        <a:prstGeom prst="roundRect">
          <a:avLst/>
        </a:prstGeom>
        <a:solidFill>
          <a:schemeClr val="accent5">
            <a:hueOff val="-3676672"/>
            <a:satOff val="-5114"/>
            <a:lumOff val="-1961"/>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01730" tIns="0" rIns="101730" bIns="0" numCol="1" spcCol="1270" anchor="ctr" anchorCtr="0">
          <a:noAutofit/>
        </a:bodyPr>
        <a:lstStyle/>
        <a:p>
          <a:pPr marL="0" lvl="0" indent="0" algn="l" defTabSz="400050">
            <a:lnSpc>
              <a:spcPct val="90000"/>
            </a:lnSpc>
            <a:spcBef>
              <a:spcPct val="0"/>
            </a:spcBef>
            <a:spcAft>
              <a:spcPct val="35000"/>
            </a:spcAft>
            <a:buNone/>
          </a:pPr>
          <a:r>
            <a:rPr lang="es-CO" sz="900" b="1" kern="1200"/>
            <a:t>4. FASE DE OFICINA</a:t>
          </a:r>
        </a:p>
      </dsp:txBody>
      <dsp:txXfrm>
        <a:off x="219626" y="4960041"/>
        <a:ext cx="2636687" cy="506120"/>
      </dsp:txXfrm>
    </dsp:sp>
    <dsp:sp modelId="{4EFCDA67-9C44-44DD-A910-D775D3C6B542}">
      <dsp:nvSpPr>
        <dsp:cNvPr id="0" name=""/>
        <dsp:cNvSpPr/>
      </dsp:nvSpPr>
      <dsp:spPr>
        <a:xfrm>
          <a:off x="0" y="6792992"/>
          <a:ext cx="3844925" cy="770037"/>
        </a:xfrm>
        <a:prstGeom prst="rect">
          <a:avLst/>
        </a:prstGeom>
        <a:solidFill>
          <a:schemeClr val="lt1">
            <a:alpha val="90000"/>
            <a:hueOff val="0"/>
            <a:satOff val="0"/>
            <a:lumOff val="0"/>
            <a:alphaOff val="0"/>
          </a:schemeClr>
        </a:solidFill>
        <a:ln w="12700" cap="flat" cmpd="sng" algn="ctr">
          <a:solidFill>
            <a:schemeClr val="accent5">
              <a:hueOff val="-4902230"/>
              <a:satOff val="-6819"/>
              <a:lumOff val="-2615"/>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98409" tIns="270764" rIns="298409" bIns="64008" numCol="1" spcCol="1270" anchor="t" anchorCtr="0">
          <a:noAutofit/>
        </a:bodyPr>
        <a:lstStyle/>
        <a:p>
          <a:pPr marL="57150" lvl="1" indent="-57150" algn="l" defTabSz="400050">
            <a:lnSpc>
              <a:spcPct val="90000"/>
            </a:lnSpc>
            <a:spcBef>
              <a:spcPct val="0"/>
            </a:spcBef>
            <a:spcAft>
              <a:spcPct val="15000"/>
            </a:spcAft>
            <a:buChar char="•"/>
          </a:pPr>
          <a:r>
            <a:rPr lang="es-CO" sz="900" kern="1200"/>
            <a:t>Socialización versión premiminar de los POF</a:t>
          </a:r>
        </a:p>
        <a:p>
          <a:pPr marL="57150" lvl="1" indent="-57150" algn="l" defTabSz="400050">
            <a:lnSpc>
              <a:spcPct val="90000"/>
            </a:lnSpc>
            <a:spcBef>
              <a:spcPct val="0"/>
            </a:spcBef>
            <a:spcAft>
              <a:spcPct val="15000"/>
            </a:spcAft>
            <a:buChar char="•"/>
          </a:pPr>
          <a:r>
            <a:rPr lang="es-CO" sz="900" kern="1200"/>
            <a:t>Armonización de los POF con actores locales y regionales</a:t>
          </a:r>
        </a:p>
        <a:p>
          <a:pPr marL="57150" lvl="1" indent="-57150" algn="l" defTabSz="400050">
            <a:lnSpc>
              <a:spcPct val="90000"/>
            </a:lnSpc>
            <a:spcBef>
              <a:spcPct val="0"/>
            </a:spcBef>
            <a:spcAft>
              <a:spcPct val="15000"/>
            </a:spcAft>
            <a:buChar char="•"/>
          </a:pPr>
          <a:r>
            <a:rPr lang="es-CO" sz="900" kern="1200"/>
            <a:t>Edición y ajustes de los POF</a:t>
          </a:r>
        </a:p>
      </dsp:txBody>
      <dsp:txXfrm>
        <a:off x="0" y="6792992"/>
        <a:ext cx="3844925" cy="770037"/>
      </dsp:txXfrm>
    </dsp:sp>
    <dsp:sp modelId="{72C2FA48-4513-4CD5-8267-CAFA222E040F}">
      <dsp:nvSpPr>
        <dsp:cNvPr id="0" name=""/>
        <dsp:cNvSpPr/>
      </dsp:nvSpPr>
      <dsp:spPr>
        <a:xfrm>
          <a:off x="184690" y="6517556"/>
          <a:ext cx="2691447" cy="560880"/>
        </a:xfrm>
        <a:prstGeom prst="roundRect">
          <a:avLst/>
        </a:prstGeom>
        <a:solidFill>
          <a:schemeClr val="accent5">
            <a:hueOff val="-4902230"/>
            <a:satOff val="-6819"/>
            <a:lumOff val="-2615"/>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01730" tIns="0" rIns="101730" bIns="0" numCol="1" spcCol="1270" anchor="ctr" anchorCtr="0">
          <a:noAutofit/>
        </a:bodyPr>
        <a:lstStyle/>
        <a:p>
          <a:pPr marL="0" lvl="0" indent="0" algn="l" defTabSz="400050">
            <a:lnSpc>
              <a:spcPct val="90000"/>
            </a:lnSpc>
            <a:spcBef>
              <a:spcPct val="0"/>
            </a:spcBef>
            <a:spcAft>
              <a:spcPct val="35000"/>
            </a:spcAft>
            <a:buNone/>
          </a:pPr>
          <a:r>
            <a:rPr lang="es-CO" sz="900" b="1" kern="1200"/>
            <a:t>5. FASE DE FORMULACION</a:t>
          </a:r>
        </a:p>
      </dsp:txBody>
      <dsp:txXfrm>
        <a:off x="212070" y="6544936"/>
        <a:ext cx="2636687" cy="506120"/>
      </dsp:txXfrm>
    </dsp:sp>
    <dsp:sp modelId="{FA8C06B1-BAA1-4827-A601-D14B18466DB6}">
      <dsp:nvSpPr>
        <dsp:cNvPr id="0" name=""/>
        <dsp:cNvSpPr/>
      </dsp:nvSpPr>
      <dsp:spPr>
        <a:xfrm>
          <a:off x="0" y="7932413"/>
          <a:ext cx="3844925" cy="1137150"/>
        </a:xfrm>
        <a:prstGeom prst="rect">
          <a:avLst/>
        </a:prstGeom>
        <a:solidFill>
          <a:schemeClr val="lt1">
            <a:alpha val="90000"/>
            <a:hueOff val="0"/>
            <a:satOff val="0"/>
            <a:lumOff val="0"/>
            <a:alphaOff val="0"/>
          </a:schemeClr>
        </a:solidFill>
        <a:ln w="12700" cap="flat" cmpd="sng" algn="ctr">
          <a:solidFill>
            <a:schemeClr val="accent5">
              <a:hueOff val="-6127787"/>
              <a:satOff val="-8523"/>
              <a:lumOff val="-3268"/>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98409" tIns="270764" rIns="298409" bIns="64008" numCol="1" spcCol="1270" anchor="t" anchorCtr="0">
          <a:noAutofit/>
        </a:bodyPr>
        <a:lstStyle/>
        <a:p>
          <a:pPr marL="57150" lvl="1" indent="-57150" algn="l" defTabSz="400050">
            <a:lnSpc>
              <a:spcPct val="90000"/>
            </a:lnSpc>
            <a:spcBef>
              <a:spcPct val="0"/>
            </a:spcBef>
            <a:spcAft>
              <a:spcPct val="15000"/>
            </a:spcAft>
            <a:buChar char="•"/>
          </a:pPr>
          <a:r>
            <a:rPr lang="es-CO" sz="900" kern="1200"/>
            <a:t>Aprobación de los POF por Consejo Directivo de la autoridad ambiental competente</a:t>
          </a:r>
        </a:p>
        <a:p>
          <a:pPr marL="57150" lvl="1" indent="-57150" algn="l" defTabSz="400050">
            <a:lnSpc>
              <a:spcPct val="90000"/>
            </a:lnSpc>
            <a:spcBef>
              <a:spcPct val="0"/>
            </a:spcBef>
            <a:spcAft>
              <a:spcPct val="15000"/>
            </a:spcAft>
            <a:buChar char="•"/>
          </a:pPr>
          <a:r>
            <a:rPr lang="es-CO" sz="900" kern="1200"/>
            <a:t>Incorporación de los POF en el POA de la autoridad ambiental competente</a:t>
          </a:r>
        </a:p>
        <a:p>
          <a:pPr marL="57150" lvl="1" indent="-57150" algn="l" defTabSz="400050">
            <a:lnSpc>
              <a:spcPct val="90000"/>
            </a:lnSpc>
            <a:spcBef>
              <a:spcPct val="0"/>
            </a:spcBef>
            <a:spcAft>
              <a:spcPct val="15000"/>
            </a:spcAft>
            <a:buChar char="•"/>
          </a:pPr>
          <a:r>
            <a:rPr lang="es-CO" sz="900" kern="1200"/>
            <a:t>Desarrollo de planes, programas y proyectos de cada POF </a:t>
          </a:r>
        </a:p>
      </dsp:txBody>
      <dsp:txXfrm>
        <a:off x="0" y="7932413"/>
        <a:ext cx="3844925" cy="1137150"/>
      </dsp:txXfrm>
    </dsp:sp>
    <dsp:sp modelId="{4E9F94DE-8CF1-4FE7-9A6B-53CB416743FC}">
      <dsp:nvSpPr>
        <dsp:cNvPr id="0" name=""/>
        <dsp:cNvSpPr/>
      </dsp:nvSpPr>
      <dsp:spPr>
        <a:xfrm>
          <a:off x="192246" y="7653241"/>
          <a:ext cx="2691447" cy="560880"/>
        </a:xfrm>
        <a:prstGeom prst="roundRect">
          <a:avLst/>
        </a:prstGeom>
        <a:solidFill>
          <a:schemeClr val="accent5">
            <a:hueOff val="-6127787"/>
            <a:satOff val="-8523"/>
            <a:lumOff val="-3268"/>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01730" tIns="0" rIns="101730" bIns="0" numCol="1" spcCol="1270" anchor="ctr" anchorCtr="0">
          <a:noAutofit/>
        </a:bodyPr>
        <a:lstStyle/>
        <a:p>
          <a:pPr marL="0" lvl="0" indent="0" algn="l" defTabSz="400050">
            <a:lnSpc>
              <a:spcPct val="90000"/>
            </a:lnSpc>
            <a:spcBef>
              <a:spcPct val="0"/>
            </a:spcBef>
            <a:spcAft>
              <a:spcPct val="35000"/>
            </a:spcAft>
            <a:buNone/>
          </a:pPr>
          <a:r>
            <a:rPr lang="es-CO" sz="900" b="1" kern="1200"/>
            <a:t>6. FASE DE IMPLEMENTACION</a:t>
          </a:r>
        </a:p>
      </dsp:txBody>
      <dsp:txXfrm>
        <a:off x="219626" y="7680621"/>
        <a:ext cx="2636687" cy="506120"/>
      </dsp:txXfrm>
    </dsp:sp>
    <dsp:sp modelId="{77262FC2-D56C-47EC-A6D3-390D5DF0E708}">
      <dsp:nvSpPr>
        <dsp:cNvPr id="0" name=""/>
        <dsp:cNvSpPr/>
      </dsp:nvSpPr>
      <dsp:spPr>
        <a:xfrm>
          <a:off x="0" y="9438943"/>
          <a:ext cx="3844925" cy="882787"/>
        </a:xfrm>
        <a:prstGeom prst="rect">
          <a:avLst/>
        </a:prstGeom>
        <a:solidFill>
          <a:schemeClr val="lt1">
            <a:alpha val="90000"/>
            <a:hueOff val="0"/>
            <a:satOff val="0"/>
            <a:lumOff val="0"/>
            <a:alphaOff val="0"/>
          </a:schemeClr>
        </a:solidFill>
        <a:ln w="12700" cap="flat" cmpd="sng" algn="ctr">
          <a:solidFill>
            <a:schemeClr val="accent5">
              <a:hueOff val="-7353344"/>
              <a:satOff val="-10228"/>
              <a:lumOff val="-3922"/>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298409" tIns="270764" rIns="298409" bIns="64008" numCol="1" spcCol="1270" anchor="t" anchorCtr="0">
          <a:noAutofit/>
        </a:bodyPr>
        <a:lstStyle/>
        <a:p>
          <a:pPr marL="57150" lvl="1" indent="-57150" algn="l" defTabSz="400050">
            <a:lnSpc>
              <a:spcPct val="90000"/>
            </a:lnSpc>
            <a:spcBef>
              <a:spcPct val="0"/>
            </a:spcBef>
            <a:spcAft>
              <a:spcPct val="15000"/>
            </a:spcAft>
            <a:buChar char="•"/>
          </a:pPr>
          <a:r>
            <a:rPr lang="es-CO" sz="900" kern="1200"/>
            <a:t>Seguimiento a los POF</a:t>
          </a:r>
        </a:p>
        <a:p>
          <a:pPr marL="57150" lvl="1" indent="-57150" algn="l" defTabSz="400050">
            <a:lnSpc>
              <a:spcPct val="90000"/>
            </a:lnSpc>
            <a:spcBef>
              <a:spcPct val="0"/>
            </a:spcBef>
            <a:spcAft>
              <a:spcPct val="15000"/>
            </a:spcAft>
            <a:buChar char="•"/>
          </a:pPr>
          <a:r>
            <a:rPr lang="es-CO" sz="900" kern="1200"/>
            <a:t>Revisión y evaluación de los POF</a:t>
          </a:r>
        </a:p>
        <a:p>
          <a:pPr marL="57150" lvl="1" indent="-57150" algn="l" defTabSz="400050">
            <a:lnSpc>
              <a:spcPct val="90000"/>
            </a:lnSpc>
            <a:spcBef>
              <a:spcPct val="0"/>
            </a:spcBef>
            <a:spcAft>
              <a:spcPct val="15000"/>
            </a:spcAft>
            <a:buChar char="•"/>
          </a:pPr>
          <a:r>
            <a:rPr lang="es-CO" sz="900" kern="1200"/>
            <a:t>Actualización de los POF  </a:t>
          </a:r>
        </a:p>
      </dsp:txBody>
      <dsp:txXfrm>
        <a:off x="0" y="9438943"/>
        <a:ext cx="3844925" cy="882787"/>
      </dsp:txXfrm>
    </dsp:sp>
    <dsp:sp modelId="{0BB363C2-1000-4D63-89E1-75C121258685}">
      <dsp:nvSpPr>
        <dsp:cNvPr id="0" name=""/>
        <dsp:cNvSpPr/>
      </dsp:nvSpPr>
      <dsp:spPr>
        <a:xfrm>
          <a:off x="199801" y="9173431"/>
          <a:ext cx="2691447" cy="560880"/>
        </a:xfrm>
        <a:prstGeom prst="roundRect">
          <a:avLst/>
        </a:prstGeom>
        <a:solidFill>
          <a:schemeClr val="accent5">
            <a:hueOff val="-7353344"/>
            <a:satOff val="-10228"/>
            <a:lumOff val="-3922"/>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01730" tIns="0" rIns="101730" bIns="0" numCol="1" spcCol="1270" anchor="ctr" anchorCtr="0">
          <a:noAutofit/>
        </a:bodyPr>
        <a:lstStyle/>
        <a:p>
          <a:pPr marL="0" lvl="0" indent="0" algn="l" defTabSz="400050">
            <a:lnSpc>
              <a:spcPct val="90000"/>
            </a:lnSpc>
            <a:spcBef>
              <a:spcPct val="0"/>
            </a:spcBef>
            <a:spcAft>
              <a:spcPct val="35000"/>
            </a:spcAft>
            <a:buNone/>
          </a:pPr>
          <a:r>
            <a:rPr lang="es-CO" sz="900" b="1" kern="1200"/>
            <a:t>7. FASE DE SEGUIMIENTO Y ACTUALIZACION</a:t>
          </a:r>
        </a:p>
      </dsp:txBody>
      <dsp:txXfrm>
        <a:off x="227181" y="9200811"/>
        <a:ext cx="2636687" cy="506120"/>
      </dsp:txXfrm>
    </dsp:sp>
  </dsp:spTree>
</dsp:drawing>
</file>

<file path=xl/diagrams/layout1.xml><?xml version="1.0" encoding="utf-8"?>
<dgm:layoutDef xmlns:dgm="http://schemas.openxmlformats.org/drawingml/2006/diagram" xmlns:a="http://schemas.openxmlformats.org/drawingml/2006/main" uniqueId="urn:microsoft.com/office/officeart/2005/8/layout/list1">
  <dgm:title val=""/>
  <dgm:desc val=""/>
  <dgm:catLst>
    <dgm:cat type="list" pri="4000"/>
  </dgm:catLst>
  <dgm:sampData>
    <dgm:dataModel>
      <dgm:ptLst>
        <dgm:pt modelId="0" type="doc"/>
        <dgm:pt modelId="1">
          <dgm:prSet phldr="1"/>
        </dgm:pt>
        <dgm:pt modelId="2">
          <dgm:prSet phldr="1"/>
        </dgm:pt>
        <dgm:pt modelId="3">
          <dgm:prSet phldr="1"/>
        </dgm:pt>
      </dgm:ptLst>
      <dgm:cxnLst>
        <dgm:cxn modelId="4" srcId="0" destId="1" srcOrd="0" destOrd="0"/>
        <dgm:cxn modelId="5" srcId="0" destId="2" srcOrd="1" destOrd="0"/>
        <dgm:cxn modelId="6" srcId="0" destId="3" srcOrd="2" destOrd="0"/>
      </dgm:cxnLst>
      <dgm:bg/>
      <dgm:whole/>
    </dgm:dataModel>
  </dgm:sampData>
  <dgm:styleData>
    <dgm:dataModel>
      <dgm:ptLst>
        <dgm:pt modelId="0" type="doc"/>
        <dgm:pt modelId="1"/>
        <dgm:pt modelId="2"/>
      </dgm:ptLst>
      <dgm:cxnLst>
        <dgm:cxn modelId="4" srcId="0" destId="1" srcOrd="0" destOrd="0"/>
        <dgm:cxn modelId="5"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
    <dgm:varLst>
      <dgm:dir/>
      <dgm:animLvl val="lvl"/>
      <dgm:resizeHandles val="exact"/>
    </dgm:varLst>
    <dgm:choose name="Name0">
      <dgm:if name="Name1" func="var" arg="dir" op="equ" val="norm">
        <dgm:alg type="lin">
          <dgm:param type="linDir" val="fromT"/>
          <dgm:param type="vertAlign" val="mid"/>
          <dgm:param type="horzAlign" val="l"/>
          <dgm:param type="nodeHorzAlign" val="l"/>
        </dgm:alg>
      </dgm:if>
      <dgm:else name="Name2">
        <dgm:alg type="lin">
          <dgm:param type="linDir" val="fromT"/>
          <dgm:param type="vertAlign" val="mid"/>
          <dgm:param type="horzAlign" val="r"/>
          <dgm:param type="nodeHorzAlign" val="r"/>
        </dgm:alg>
      </dgm:else>
    </dgm:choose>
    <dgm:shape xmlns:r="http://schemas.openxmlformats.org/officeDocument/2006/relationships" r:blip="">
      <dgm:adjLst/>
    </dgm:shape>
    <dgm:presOf/>
    <dgm:constrLst>
      <dgm:constr type="w" for="ch" forName="parentLin" refType="w"/>
      <dgm:constr type="h" for="ch" forName="parentLin" val="INF"/>
      <dgm:constr type="w" for="des" forName="parentLeftMargin" refType="w" fact="0.05"/>
      <dgm:constr type="w" for="des" forName="parentText" refType="w" fact="0.7"/>
      <dgm:constr type="h" for="des" forName="parentText" refType="primFontSz" refFor="des" refForName="parentText" fact="0.82"/>
      <dgm:constr type="h" for="ch" forName="negativeSpace" refType="primFontSz" refFor="des" refForName="parentText" fact="-0.41"/>
      <dgm:constr type="h" for="ch" forName="negativeSpace" refType="h" refFor="des" refForName="parentText" op="lte" fact="-0.82"/>
      <dgm:constr type="h" for="ch" forName="negativeSpace" refType="h" refFor="des" refForName="parentText" op="gte" fact="-0.82"/>
      <dgm:constr type="w" for="ch" forName="childText" refType="w"/>
      <dgm:constr type="h" for="ch" forName="childText" refType="primFontSz" refFor="des" refForName="parentText" fact="0.7"/>
      <dgm:constr type="primFontSz" for="des" forName="parentText" val="65"/>
      <dgm:constr type="primFontSz" for="ch" forName="childText" refType="primFontSz" refFor="des" refForName="parentText"/>
      <dgm:constr type="tMarg" for="ch" forName="childText" refType="primFontSz" refFor="des" refForName="parentText" fact="1.64"/>
      <dgm:constr type="tMarg" for="ch" forName="childText" refType="h" refFor="des" refForName="parentText" op="lte" fact="3.28"/>
      <dgm:constr type="tMarg" for="ch" forName="childText" refType="h" refFor="des" refForName="parentText" op="gte" fact="3.28"/>
      <dgm:constr type="lMarg" for="ch" forName="childText" refType="w" fact="0.22"/>
      <dgm:constr type="rMarg" for="ch" forName="childText" refType="lMarg" refFor="ch" refForName="childText"/>
      <dgm:constr type="lMarg" for="des" forName="parentText" refType="w" fact="0.075"/>
      <dgm:constr type="rMarg" for="des" forName="parentText" refType="lMarg" refFor="des" refForName="parentText"/>
      <dgm:constr type="h" for="ch" forName="spaceBetweenRectangles" refType="primFontSz" refFor="des" refForName="parentText" fact="0.15"/>
    </dgm:constrLst>
    <dgm:ruleLst>
      <dgm:rule type="primFontSz" for="des" forName="parentText" val="5" fact="NaN" max="NaN"/>
    </dgm:ruleLst>
    <dgm:forEach name="Name3" axis="ch" ptType="node">
      <dgm:layoutNode name="parentLin">
        <dgm:choose name="Name4">
          <dgm:if name="Name5" func="var" arg="dir" op="equ" val="norm">
            <dgm:alg type="lin">
              <dgm:param type="linDir" val="fromL"/>
              <dgm:param type="horzAlign" val="l"/>
              <dgm:param type="nodeHorzAlign" val="l"/>
            </dgm:alg>
          </dgm:if>
          <dgm:else name="Name6">
            <dgm:alg type="lin">
              <dgm:param type="linDir" val="fromR"/>
              <dgm:param type="horzAlign" val="r"/>
              <dgm:param type="nodeHorzAlign" val="r"/>
            </dgm:alg>
          </dgm:else>
        </dgm:choose>
        <dgm:shape xmlns:r="http://schemas.openxmlformats.org/officeDocument/2006/relationships" r:blip="">
          <dgm:adjLst/>
        </dgm:shape>
        <dgm:presOf/>
        <dgm:constrLst/>
        <dgm:ruleLst/>
        <dgm:layoutNode name="parentLeftMargin">
          <dgm:alg type="sp"/>
          <dgm:shape xmlns:r="http://schemas.openxmlformats.org/officeDocument/2006/relationships" type="rect" r:blip="" hideGeom="1">
            <dgm:adjLst/>
          </dgm:shape>
          <dgm:presOf axis="self"/>
          <dgm:constrLst>
            <dgm:constr type="h"/>
          </dgm:constrLst>
          <dgm:ruleLst/>
        </dgm:layoutNode>
        <dgm:layoutNode name="parentText" styleLbl="node1">
          <dgm:varLst>
            <dgm:chMax val="0"/>
            <dgm:bulletEnabled val="1"/>
          </dgm:varLst>
          <dgm:choose name="Name7">
            <dgm:if name="Name8" func="var" arg="dir" op="equ" val="norm">
              <dgm:alg type="tx">
                <dgm:param type="parTxLTRAlign" val="l"/>
                <dgm:param type="parTxRTLAlign" val="l"/>
              </dgm:alg>
            </dgm:if>
            <dgm:else name="Name9">
              <dgm:alg type="tx">
                <dgm:param type="parTxLTRAlign" val="r"/>
                <dgm:param type="parTxRTLAlign" val="r"/>
              </dgm:alg>
            </dgm:else>
          </dgm:choose>
          <dgm:shape xmlns:r="http://schemas.openxmlformats.org/officeDocument/2006/relationships" type="roundRect" r:blip="">
            <dgm:adjLst/>
          </dgm:shape>
          <dgm:presOf axis="self" ptType="node"/>
          <dgm:constrLst>
            <dgm:constr type="tMarg"/>
            <dgm:constr type="bMarg"/>
          </dgm:constrLst>
          <dgm:ruleLst/>
        </dgm:layoutNode>
      </dgm:layoutNode>
      <dgm:layoutNode name="negativeSpace">
        <dgm:alg type="sp"/>
        <dgm:shape xmlns:r="http://schemas.openxmlformats.org/officeDocument/2006/relationships" r:blip="">
          <dgm:adjLst/>
        </dgm:shape>
        <dgm:presOf/>
        <dgm:constrLst/>
        <dgm:ruleLst/>
      </dgm:layoutNode>
      <dgm:layoutNode name="childText" styleLbl="conFgAcc1">
        <dgm:varLst>
          <dgm:bulletEnabled val="1"/>
        </dgm:varLst>
        <dgm:alg type="tx">
          <dgm:param type="stBulletLvl" val="1"/>
        </dgm:alg>
        <dgm:shape xmlns:r="http://schemas.openxmlformats.org/officeDocument/2006/relationships" type="rect" r:blip="" zOrderOff="-2">
          <dgm:adjLst/>
        </dgm:shape>
        <dgm:presOf axis="des" ptType="node"/>
        <dgm:constrLst>
          <dgm:constr type="secFontSz" refType="primFontSz"/>
        </dgm:constrLst>
        <dgm:ruleLst>
          <dgm:rule type="h" val="INF" fact="NaN" max="NaN"/>
        </dgm:ruleLst>
      </dgm:layoutNode>
      <dgm:forEach name="Name10" axis="followSib" ptType="sibTrans" cnt="1">
        <dgm:layoutNode name="spaceBetweenRectangles">
          <dgm:alg type="sp"/>
          <dgm:shape xmlns:r="http://schemas.openxmlformats.org/officeDocument/2006/relationships" r:blip="">
            <dgm:adjLst/>
          </dgm:shape>
          <dgm:presOf/>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png"/><Relationship Id="rId5" Type="http://schemas.openxmlformats.org/officeDocument/2006/relationships/image" Target="../media/image14.png"/><Relationship Id="rId4"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7.png"/><Relationship Id="rId1" Type="http://schemas.openxmlformats.org/officeDocument/2006/relationships/image" Target="../media/image16.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8.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diagramLayout" Target="../diagrams/layout1.xml"/><Relationship Id="rId7" Type="http://schemas.openxmlformats.org/officeDocument/2006/relationships/image" Target="../media/image1.png"/><Relationship Id="rId2" Type="http://schemas.openxmlformats.org/officeDocument/2006/relationships/diagramData" Target="../diagrams/data1.xml"/><Relationship Id="rId1" Type="http://schemas.openxmlformats.org/officeDocument/2006/relationships/image" Target="../media/image20.png"/><Relationship Id="rId6" Type="http://schemas.microsoft.com/office/2007/relationships/diagramDrawing" Target="../diagrams/drawing1.xml"/><Relationship Id="rId5" Type="http://schemas.openxmlformats.org/officeDocument/2006/relationships/diagramColors" Target="../diagrams/colors1.xml"/><Relationship Id="rId4" Type="http://schemas.openxmlformats.org/officeDocument/2006/relationships/diagramQuickStyle" Target="../diagrams/quickStyle1.xml"/></Relationships>
</file>

<file path=xl/drawings/_rels/drawing1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2.png"/><Relationship Id="rId1" Type="http://schemas.openxmlformats.org/officeDocument/2006/relationships/image" Target="../media/image21.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4.png"/><Relationship Id="rId1" Type="http://schemas.openxmlformats.org/officeDocument/2006/relationships/image" Target="../media/image2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6.png"/><Relationship Id="rId1" Type="http://schemas.openxmlformats.org/officeDocument/2006/relationships/image" Target="../media/image25.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8.png"/><Relationship Id="rId1" Type="http://schemas.openxmlformats.org/officeDocument/2006/relationships/image" Target="../media/image27.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9.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0.png"/></Relationships>
</file>

<file path=xl/drawings/_rels/drawing2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2.png"/><Relationship Id="rId1" Type="http://schemas.openxmlformats.org/officeDocument/2006/relationships/image" Target="../media/image31.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4.png"/><Relationship Id="rId1" Type="http://schemas.openxmlformats.org/officeDocument/2006/relationships/image" Target="../media/image33.png"/></Relationships>
</file>

<file path=xl/drawings/_rels/drawing2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6.png"/><Relationship Id="rId1" Type="http://schemas.openxmlformats.org/officeDocument/2006/relationships/image" Target="../media/image35.png"/></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7.png"/></Relationships>
</file>

<file path=xl/drawings/_rels/drawing2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9.png"/><Relationship Id="rId1" Type="http://schemas.openxmlformats.org/officeDocument/2006/relationships/image" Target="../media/image38.png"/></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1.png"/></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image" Target="../media/image44.png"/><Relationship Id="rId1" Type="http://schemas.openxmlformats.org/officeDocument/2006/relationships/image" Target="../media/image43.png"/><Relationship Id="rId4" Type="http://schemas.openxmlformats.org/officeDocument/2006/relationships/image" Target="../media/image1.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7.png"/><Relationship Id="rId1" Type="http://schemas.openxmlformats.org/officeDocument/2006/relationships/image" Target="../media/image4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0</xdr:col>
      <xdr:colOff>119063</xdr:colOff>
      <xdr:row>0</xdr:row>
      <xdr:rowOff>107157</xdr:rowOff>
    </xdr:from>
    <xdr:to>
      <xdr:col>1</xdr:col>
      <xdr:colOff>571501</xdr:colOff>
      <xdr:row>0</xdr:row>
      <xdr:rowOff>1750220</xdr:rowOff>
    </xdr:to>
    <xdr:pic>
      <xdr:nvPicPr>
        <xdr:cNvPr id="4" name="1 Imagen" descr="ESCUDO-transp-lema-blanco.png">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119063" y="107157"/>
          <a:ext cx="1109663" cy="1643063"/>
        </a:xfrm>
        <a:prstGeom prst="rect">
          <a:avLst/>
        </a:prstGeom>
        <a:noFill/>
        <a:ln w="9525">
          <a:noFill/>
          <a:miter lim="800000"/>
          <a:headEnd/>
          <a:tailEnd/>
        </a:ln>
      </xdr:spPr>
    </xdr:pic>
    <xdr:clientData/>
  </xdr:twoCellAnchor>
  <xdr:twoCellAnchor>
    <xdr:from>
      <xdr:col>1</xdr:col>
      <xdr:colOff>647700</xdr:colOff>
      <xdr:row>0</xdr:row>
      <xdr:rowOff>381000</xdr:rowOff>
    </xdr:from>
    <xdr:to>
      <xdr:col>4</xdr:col>
      <xdr:colOff>59531</xdr:colOff>
      <xdr:row>0</xdr:row>
      <xdr:rowOff>1440656</xdr:rowOff>
    </xdr:to>
    <xdr:sp macro="" textlink="">
      <xdr:nvSpPr>
        <xdr:cNvPr id="5" name="5 CuadroTexto">
          <a:extLst>
            <a:ext uri="{FF2B5EF4-FFF2-40B4-BE49-F238E27FC236}">
              <a16:creationId xmlns:a16="http://schemas.microsoft.com/office/drawing/2014/main" id="{00000000-0008-0000-0400-000005000000}"/>
            </a:ext>
          </a:extLst>
        </xdr:cNvPr>
        <xdr:cNvSpPr txBox="1"/>
      </xdr:nvSpPr>
      <xdr:spPr bwMode="auto">
        <a:xfrm>
          <a:off x="1304925" y="381000"/>
          <a:ext cx="2412206" cy="10596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548640</xdr:colOff>
      <xdr:row>62</xdr:row>
      <xdr:rowOff>160020</xdr:rowOff>
    </xdr:from>
    <xdr:to>
      <xdr:col>2</xdr:col>
      <xdr:colOff>1714601</xdr:colOff>
      <xdr:row>64</xdr:row>
      <xdr:rowOff>60983</xdr:rowOff>
    </xdr:to>
    <xdr:pic>
      <xdr:nvPicPr>
        <xdr:cNvPr id="2" name="Imagen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60220" y="20193000"/>
          <a:ext cx="1165961" cy="266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0C00-000003000000}"/>
            </a:ext>
          </a:extLst>
        </xdr:cNvPr>
        <xdr:cNvGrpSpPr>
          <a:grpSpLocks/>
        </xdr:cNvGrpSpPr>
      </xdr:nvGrpSpPr>
      <xdr:grpSpPr bwMode="auto">
        <a:xfrm>
          <a:off x="0" y="0"/>
          <a:ext cx="6619038" cy="1274375"/>
          <a:chOff x="57150" y="47625"/>
          <a:chExt cx="6316603" cy="1200288"/>
        </a:xfrm>
      </xdr:grpSpPr>
      <xdr:pic>
        <xdr:nvPicPr>
          <xdr:cNvPr id="4" name="1 Imagen" descr="ESCUDO-transp-lema-blanco.png">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0C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6" name="1 Grupo">
          <a:extLst>
            <a:ext uri="{FF2B5EF4-FFF2-40B4-BE49-F238E27FC236}">
              <a16:creationId xmlns:a16="http://schemas.microsoft.com/office/drawing/2014/main" id="{0CAABAC7-6332-431E-9432-7464B9DD1A46}"/>
            </a:ext>
          </a:extLst>
        </xdr:cNvPr>
        <xdr:cNvGrpSpPr>
          <a:grpSpLocks/>
        </xdr:cNvGrpSpPr>
      </xdr:nvGrpSpPr>
      <xdr:grpSpPr bwMode="auto">
        <a:xfrm>
          <a:off x="0" y="0"/>
          <a:ext cx="6619038" cy="1274375"/>
          <a:chOff x="57150" y="47625"/>
          <a:chExt cx="6316603" cy="1200288"/>
        </a:xfrm>
      </xdr:grpSpPr>
      <xdr:pic>
        <xdr:nvPicPr>
          <xdr:cNvPr id="7" name="1 Imagen" descr="ESCUDO-transp-lema-blanco.png">
            <a:extLst>
              <a:ext uri="{FF2B5EF4-FFF2-40B4-BE49-F238E27FC236}">
                <a16:creationId xmlns:a16="http://schemas.microsoft.com/office/drawing/2014/main" id="{F3C9E351-2517-4147-95EF-1B8426BF0C54}"/>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8" name="3 CuadroTexto">
            <a:extLst>
              <a:ext uri="{FF2B5EF4-FFF2-40B4-BE49-F238E27FC236}">
                <a16:creationId xmlns:a16="http://schemas.microsoft.com/office/drawing/2014/main" id="{02DDC8DA-D28F-44B6-AC5A-BFC9B94614D2}"/>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9" name="1 Grupo">
          <a:extLst>
            <a:ext uri="{FF2B5EF4-FFF2-40B4-BE49-F238E27FC236}">
              <a16:creationId xmlns:a16="http://schemas.microsoft.com/office/drawing/2014/main" id="{09EA0FDF-EB3E-4552-8DB0-E1BCA5FA41FB}"/>
            </a:ext>
          </a:extLst>
        </xdr:cNvPr>
        <xdr:cNvGrpSpPr>
          <a:grpSpLocks/>
        </xdr:cNvGrpSpPr>
      </xdr:nvGrpSpPr>
      <xdr:grpSpPr bwMode="auto">
        <a:xfrm>
          <a:off x="0" y="0"/>
          <a:ext cx="6619038" cy="1274375"/>
          <a:chOff x="57150" y="47625"/>
          <a:chExt cx="6316603" cy="1200288"/>
        </a:xfrm>
      </xdr:grpSpPr>
      <xdr:pic>
        <xdr:nvPicPr>
          <xdr:cNvPr id="10" name="1 Imagen" descr="ESCUDO-transp-lema-blanco.png">
            <a:extLst>
              <a:ext uri="{FF2B5EF4-FFF2-40B4-BE49-F238E27FC236}">
                <a16:creationId xmlns:a16="http://schemas.microsoft.com/office/drawing/2014/main" id="{3B674FEE-4EFD-4F3C-8B02-A8EE49F1F25A}"/>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1" name="3 CuadroTexto">
            <a:extLst>
              <a:ext uri="{FF2B5EF4-FFF2-40B4-BE49-F238E27FC236}">
                <a16:creationId xmlns:a16="http://schemas.microsoft.com/office/drawing/2014/main" id="{BD8B9441-CACE-4CF3-A7FD-D5556AF302BB}"/>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2" name="1 Grupo">
          <a:extLst>
            <a:ext uri="{FF2B5EF4-FFF2-40B4-BE49-F238E27FC236}">
              <a16:creationId xmlns:a16="http://schemas.microsoft.com/office/drawing/2014/main" id="{9FEAF726-6805-4D83-88C7-1D212E389E7B}"/>
            </a:ext>
          </a:extLst>
        </xdr:cNvPr>
        <xdr:cNvGrpSpPr>
          <a:grpSpLocks/>
        </xdr:cNvGrpSpPr>
      </xdr:nvGrpSpPr>
      <xdr:grpSpPr bwMode="auto">
        <a:xfrm>
          <a:off x="0" y="0"/>
          <a:ext cx="6619038" cy="1274375"/>
          <a:chOff x="57150" y="47625"/>
          <a:chExt cx="6316603" cy="1200288"/>
        </a:xfrm>
      </xdr:grpSpPr>
      <xdr:pic>
        <xdr:nvPicPr>
          <xdr:cNvPr id="13" name="1 Imagen" descr="ESCUDO-transp-lema-blanco.png">
            <a:extLst>
              <a:ext uri="{FF2B5EF4-FFF2-40B4-BE49-F238E27FC236}">
                <a16:creationId xmlns:a16="http://schemas.microsoft.com/office/drawing/2014/main" id="{1A4F6F16-6179-4C24-B425-E629AFBFF58E}"/>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4" name="3 CuadroTexto">
            <a:extLst>
              <a:ext uri="{FF2B5EF4-FFF2-40B4-BE49-F238E27FC236}">
                <a16:creationId xmlns:a16="http://schemas.microsoft.com/office/drawing/2014/main" id="{7954EDAA-4F81-4583-ACA3-F94D5A717718}"/>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381000</xdr:colOff>
      <xdr:row>66</xdr:row>
      <xdr:rowOff>160020</xdr:rowOff>
    </xdr:from>
    <xdr:to>
      <xdr:col>2</xdr:col>
      <xdr:colOff>2065166</xdr:colOff>
      <xdr:row>68</xdr:row>
      <xdr:rowOff>60983</xdr:rowOff>
    </xdr:to>
    <xdr:pic>
      <xdr:nvPicPr>
        <xdr:cNvPr id="2" name="Imagen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92580" y="21983700"/>
          <a:ext cx="1684166" cy="266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0D00-000003000000}"/>
            </a:ext>
          </a:extLst>
        </xdr:cNvPr>
        <xdr:cNvGrpSpPr>
          <a:grpSpLocks/>
        </xdr:cNvGrpSpPr>
      </xdr:nvGrpSpPr>
      <xdr:grpSpPr bwMode="auto">
        <a:xfrm>
          <a:off x="0" y="0"/>
          <a:ext cx="6095407" cy="1274375"/>
          <a:chOff x="57150" y="47625"/>
          <a:chExt cx="6316603" cy="1200288"/>
        </a:xfrm>
      </xdr:grpSpPr>
      <xdr:pic>
        <xdr:nvPicPr>
          <xdr:cNvPr id="4" name="1 Imagen" descr="ESCUDO-transp-lema-blanco.png">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0D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6" name="1 Grupo">
          <a:extLst>
            <a:ext uri="{FF2B5EF4-FFF2-40B4-BE49-F238E27FC236}">
              <a16:creationId xmlns:a16="http://schemas.microsoft.com/office/drawing/2014/main" id="{7C4DB642-75B2-445F-A3F9-E9E52B86F867}"/>
            </a:ext>
          </a:extLst>
        </xdr:cNvPr>
        <xdr:cNvGrpSpPr>
          <a:grpSpLocks/>
        </xdr:cNvGrpSpPr>
      </xdr:nvGrpSpPr>
      <xdr:grpSpPr bwMode="auto">
        <a:xfrm>
          <a:off x="0" y="0"/>
          <a:ext cx="6095407" cy="1274375"/>
          <a:chOff x="57150" y="47625"/>
          <a:chExt cx="6316603" cy="1200288"/>
        </a:xfrm>
      </xdr:grpSpPr>
      <xdr:pic>
        <xdr:nvPicPr>
          <xdr:cNvPr id="7" name="1 Imagen" descr="ESCUDO-transp-lema-blanco.png">
            <a:extLst>
              <a:ext uri="{FF2B5EF4-FFF2-40B4-BE49-F238E27FC236}">
                <a16:creationId xmlns:a16="http://schemas.microsoft.com/office/drawing/2014/main" id="{0DA0D6B8-C5E5-4FB0-8A48-9183AB3A10F1}"/>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8" name="3 CuadroTexto">
            <a:extLst>
              <a:ext uri="{FF2B5EF4-FFF2-40B4-BE49-F238E27FC236}">
                <a16:creationId xmlns:a16="http://schemas.microsoft.com/office/drawing/2014/main" id="{F3271170-369D-4301-A2B1-9E2CE65A5C07}"/>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9" name="1 Grupo">
          <a:extLst>
            <a:ext uri="{FF2B5EF4-FFF2-40B4-BE49-F238E27FC236}">
              <a16:creationId xmlns:a16="http://schemas.microsoft.com/office/drawing/2014/main" id="{A15F1C95-69E5-475C-A1DA-B177DD629E96}"/>
            </a:ext>
          </a:extLst>
        </xdr:cNvPr>
        <xdr:cNvGrpSpPr>
          <a:grpSpLocks/>
        </xdr:cNvGrpSpPr>
      </xdr:nvGrpSpPr>
      <xdr:grpSpPr bwMode="auto">
        <a:xfrm>
          <a:off x="0" y="0"/>
          <a:ext cx="6095407" cy="1274375"/>
          <a:chOff x="57150" y="47625"/>
          <a:chExt cx="6316603" cy="1200288"/>
        </a:xfrm>
      </xdr:grpSpPr>
      <xdr:pic>
        <xdr:nvPicPr>
          <xdr:cNvPr id="10" name="1 Imagen" descr="ESCUDO-transp-lema-blanco.png">
            <a:extLst>
              <a:ext uri="{FF2B5EF4-FFF2-40B4-BE49-F238E27FC236}">
                <a16:creationId xmlns:a16="http://schemas.microsoft.com/office/drawing/2014/main" id="{5085BD56-4000-4CA8-92FA-908EFA6B6DE3}"/>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1" name="3 CuadroTexto">
            <a:extLst>
              <a:ext uri="{FF2B5EF4-FFF2-40B4-BE49-F238E27FC236}">
                <a16:creationId xmlns:a16="http://schemas.microsoft.com/office/drawing/2014/main" id="{7F4B74F1-87F5-4608-9221-6BA2D8BA6955}"/>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2" name="1 Grupo">
          <a:extLst>
            <a:ext uri="{FF2B5EF4-FFF2-40B4-BE49-F238E27FC236}">
              <a16:creationId xmlns:a16="http://schemas.microsoft.com/office/drawing/2014/main" id="{1564B148-0023-449F-A451-DAC3DDBAAF08}"/>
            </a:ext>
          </a:extLst>
        </xdr:cNvPr>
        <xdr:cNvGrpSpPr>
          <a:grpSpLocks/>
        </xdr:cNvGrpSpPr>
      </xdr:nvGrpSpPr>
      <xdr:grpSpPr bwMode="auto">
        <a:xfrm>
          <a:off x="0" y="0"/>
          <a:ext cx="6095407" cy="1274375"/>
          <a:chOff x="57150" y="47625"/>
          <a:chExt cx="6316603" cy="1200288"/>
        </a:xfrm>
      </xdr:grpSpPr>
      <xdr:pic>
        <xdr:nvPicPr>
          <xdr:cNvPr id="13" name="1 Imagen" descr="ESCUDO-transp-lema-blanco.png">
            <a:extLst>
              <a:ext uri="{FF2B5EF4-FFF2-40B4-BE49-F238E27FC236}">
                <a16:creationId xmlns:a16="http://schemas.microsoft.com/office/drawing/2014/main" id="{F5417BD6-7879-49E7-BFB8-4F958FC20345}"/>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4" name="3 CuadroTexto">
            <a:extLst>
              <a:ext uri="{FF2B5EF4-FFF2-40B4-BE49-F238E27FC236}">
                <a16:creationId xmlns:a16="http://schemas.microsoft.com/office/drawing/2014/main" id="{D8DC0DE2-B5ED-47AC-8CD8-5CBDBC8C546F}"/>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2</xdr:col>
      <xdr:colOff>381000</xdr:colOff>
      <xdr:row>66</xdr:row>
      <xdr:rowOff>160020</xdr:rowOff>
    </xdr:from>
    <xdr:to>
      <xdr:col>2</xdr:col>
      <xdr:colOff>2065166</xdr:colOff>
      <xdr:row>68</xdr:row>
      <xdr:rowOff>60983</xdr:rowOff>
    </xdr:to>
    <xdr:pic>
      <xdr:nvPicPr>
        <xdr:cNvPr id="15" name="Imagen 14">
          <a:extLst>
            <a:ext uri="{FF2B5EF4-FFF2-40B4-BE49-F238E27FC236}">
              <a16:creationId xmlns:a16="http://schemas.microsoft.com/office/drawing/2014/main" id="{BC16BCB7-57D5-4064-B326-BDC2E000613E}"/>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94460" y="21450300"/>
          <a:ext cx="205886" cy="29489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16" name="1 Grupo">
          <a:extLst>
            <a:ext uri="{FF2B5EF4-FFF2-40B4-BE49-F238E27FC236}">
              <a16:creationId xmlns:a16="http://schemas.microsoft.com/office/drawing/2014/main" id="{3C695078-E342-44B6-A4D6-C963398A4DDF}"/>
            </a:ext>
          </a:extLst>
        </xdr:cNvPr>
        <xdr:cNvGrpSpPr>
          <a:grpSpLocks/>
        </xdr:cNvGrpSpPr>
      </xdr:nvGrpSpPr>
      <xdr:grpSpPr bwMode="auto">
        <a:xfrm>
          <a:off x="0" y="0"/>
          <a:ext cx="6095407" cy="1274375"/>
          <a:chOff x="57150" y="47625"/>
          <a:chExt cx="6316603" cy="1200288"/>
        </a:xfrm>
      </xdr:grpSpPr>
      <xdr:pic>
        <xdr:nvPicPr>
          <xdr:cNvPr id="17" name="1 Imagen" descr="ESCUDO-transp-lema-blanco.png">
            <a:extLst>
              <a:ext uri="{FF2B5EF4-FFF2-40B4-BE49-F238E27FC236}">
                <a16:creationId xmlns:a16="http://schemas.microsoft.com/office/drawing/2014/main" id="{5CF58EDD-630F-60B6-0999-219F63D2AC3E}"/>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8" name="3 CuadroTexto">
            <a:extLst>
              <a:ext uri="{FF2B5EF4-FFF2-40B4-BE49-F238E27FC236}">
                <a16:creationId xmlns:a16="http://schemas.microsoft.com/office/drawing/2014/main" id="{8A0179DF-1C84-A58C-A8FE-052BFE1A7E5B}"/>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9" name="1 Grupo">
          <a:extLst>
            <a:ext uri="{FF2B5EF4-FFF2-40B4-BE49-F238E27FC236}">
              <a16:creationId xmlns:a16="http://schemas.microsoft.com/office/drawing/2014/main" id="{0B9A397F-3D77-4D75-A707-21342691B3D0}"/>
            </a:ext>
          </a:extLst>
        </xdr:cNvPr>
        <xdr:cNvGrpSpPr>
          <a:grpSpLocks/>
        </xdr:cNvGrpSpPr>
      </xdr:nvGrpSpPr>
      <xdr:grpSpPr bwMode="auto">
        <a:xfrm>
          <a:off x="0" y="0"/>
          <a:ext cx="6095407" cy="1274375"/>
          <a:chOff x="57150" y="47625"/>
          <a:chExt cx="6316603" cy="1200288"/>
        </a:xfrm>
      </xdr:grpSpPr>
      <xdr:pic>
        <xdr:nvPicPr>
          <xdr:cNvPr id="20" name="1 Imagen" descr="ESCUDO-transp-lema-blanco.png">
            <a:extLst>
              <a:ext uri="{FF2B5EF4-FFF2-40B4-BE49-F238E27FC236}">
                <a16:creationId xmlns:a16="http://schemas.microsoft.com/office/drawing/2014/main" id="{EC9BE852-10E6-6507-4019-DD733678D026}"/>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21" name="3 CuadroTexto">
            <a:extLst>
              <a:ext uri="{FF2B5EF4-FFF2-40B4-BE49-F238E27FC236}">
                <a16:creationId xmlns:a16="http://schemas.microsoft.com/office/drawing/2014/main" id="{882861B4-AE7D-4B53-B38B-ECFBB787232A}"/>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22" name="1 Grupo">
          <a:extLst>
            <a:ext uri="{FF2B5EF4-FFF2-40B4-BE49-F238E27FC236}">
              <a16:creationId xmlns:a16="http://schemas.microsoft.com/office/drawing/2014/main" id="{17C6AF4F-FA69-4479-86D1-892CA33D9AE6}"/>
            </a:ext>
          </a:extLst>
        </xdr:cNvPr>
        <xdr:cNvGrpSpPr>
          <a:grpSpLocks/>
        </xdr:cNvGrpSpPr>
      </xdr:nvGrpSpPr>
      <xdr:grpSpPr bwMode="auto">
        <a:xfrm>
          <a:off x="0" y="0"/>
          <a:ext cx="6095407" cy="1274375"/>
          <a:chOff x="57150" y="47625"/>
          <a:chExt cx="6316603" cy="1200288"/>
        </a:xfrm>
      </xdr:grpSpPr>
      <xdr:pic>
        <xdr:nvPicPr>
          <xdr:cNvPr id="23" name="1 Imagen" descr="ESCUDO-transp-lema-blanco.png">
            <a:extLst>
              <a:ext uri="{FF2B5EF4-FFF2-40B4-BE49-F238E27FC236}">
                <a16:creationId xmlns:a16="http://schemas.microsoft.com/office/drawing/2014/main" id="{52475225-B264-AEC9-D797-2FEAFBFE96F8}"/>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24" name="3 CuadroTexto">
            <a:extLst>
              <a:ext uri="{FF2B5EF4-FFF2-40B4-BE49-F238E27FC236}">
                <a16:creationId xmlns:a16="http://schemas.microsoft.com/office/drawing/2014/main" id="{8746E053-B49D-C94A-B0A4-AF1A8C19724A}"/>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25" name="1 Grupo">
          <a:extLst>
            <a:ext uri="{FF2B5EF4-FFF2-40B4-BE49-F238E27FC236}">
              <a16:creationId xmlns:a16="http://schemas.microsoft.com/office/drawing/2014/main" id="{201EB466-0741-4A48-9D59-CB126F03CEB7}"/>
            </a:ext>
          </a:extLst>
        </xdr:cNvPr>
        <xdr:cNvGrpSpPr>
          <a:grpSpLocks/>
        </xdr:cNvGrpSpPr>
      </xdr:nvGrpSpPr>
      <xdr:grpSpPr bwMode="auto">
        <a:xfrm>
          <a:off x="0" y="0"/>
          <a:ext cx="6095407" cy="1274375"/>
          <a:chOff x="57150" y="47625"/>
          <a:chExt cx="6316603" cy="1200288"/>
        </a:xfrm>
      </xdr:grpSpPr>
      <xdr:pic>
        <xdr:nvPicPr>
          <xdr:cNvPr id="26" name="1 Imagen" descr="ESCUDO-transp-lema-blanco.png">
            <a:extLst>
              <a:ext uri="{FF2B5EF4-FFF2-40B4-BE49-F238E27FC236}">
                <a16:creationId xmlns:a16="http://schemas.microsoft.com/office/drawing/2014/main" id="{BCD76DE9-9765-9099-875D-DAD76CEF17E4}"/>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27" name="3 CuadroTexto">
            <a:extLst>
              <a:ext uri="{FF2B5EF4-FFF2-40B4-BE49-F238E27FC236}">
                <a16:creationId xmlns:a16="http://schemas.microsoft.com/office/drawing/2014/main" id="{768310E6-F008-EE47-3261-F976B5850EA6}"/>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30481</xdr:colOff>
      <xdr:row>70</xdr:row>
      <xdr:rowOff>144780</xdr:rowOff>
    </xdr:from>
    <xdr:to>
      <xdr:col>2</xdr:col>
      <xdr:colOff>333960</xdr:colOff>
      <xdr:row>71</xdr:row>
      <xdr:rowOff>7321</xdr:rowOff>
    </xdr:to>
    <xdr:pic>
      <xdr:nvPicPr>
        <xdr:cNvPr id="2" name="Imagen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17829" y="25351182"/>
          <a:ext cx="303479" cy="483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335281</xdr:colOff>
      <xdr:row>81</xdr:row>
      <xdr:rowOff>0</xdr:rowOff>
    </xdr:from>
    <xdr:to>
      <xdr:col>3</xdr:col>
      <xdr:colOff>440</xdr:colOff>
      <xdr:row>82</xdr:row>
      <xdr:rowOff>3826</xdr:rowOff>
    </xdr:to>
    <xdr:pic>
      <xdr:nvPicPr>
        <xdr:cNvPr id="3" name="Imagen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22629" y="29632043"/>
          <a:ext cx="2018" cy="3174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329566</xdr:colOff>
      <xdr:row>87</xdr:row>
      <xdr:rowOff>15240</xdr:rowOff>
    </xdr:from>
    <xdr:to>
      <xdr:col>2</xdr:col>
      <xdr:colOff>330417</xdr:colOff>
      <xdr:row>88</xdr:row>
      <xdr:rowOff>19066</xdr:rowOff>
    </xdr:to>
    <xdr:pic>
      <xdr:nvPicPr>
        <xdr:cNvPr id="4" name="Imagen 3">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6914" y="34944112"/>
          <a:ext cx="851" cy="3290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326</xdr:colOff>
      <xdr:row>93</xdr:row>
      <xdr:rowOff>144780</xdr:rowOff>
    </xdr:from>
    <xdr:to>
      <xdr:col>3</xdr:col>
      <xdr:colOff>326</xdr:colOff>
      <xdr:row>94</xdr:row>
      <xdr:rowOff>148606</xdr:rowOff>
    </xdr:to>
    <xdr:pic>
      <xdr:nvPicPr>
        <xdr:cNvPr id="5" name="Imagen 4">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24533" y="36618560"/>
          <a:ext cx="0" cy="9214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326</xdr:colOff>
      <xdr:row>100</xdr:row>
      <xdr:rowOff>53341</xdr:rowOff>
    </xdr:from>
    <xdr:to>
      <xdr:col>3</xdr:col>
      <xdr:colOff>326</xdr:colOff>
      <xdr:row>101</xdr:row>
      <xdr:rowOff>41164</xdr:rowOff>
    </xdr:to>
    <xdr:pic>
      <xdr:nvPicPr>
        <xdr:cNvPr id="6" name="Imagen 5">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24533" y="38989682"/>
          <a:ext cx="0" cy="1736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7" name="1 Grupo">
          <a:extLst>
            <a:ext uri="{FF2B5EF4-FFF2-40B4-BE49-F238E27FC236}">
              <a16:creationId xmlns:a16="http://schemas.microsoft.com/office/drawing/2014/main" id="{00000000-0008-0000-0E00-000007000000}"/>
            </a:ext>
          </a:extLst>
        </xdr:cNvPr>
        <xdr:cNvGrpSpPr>
          <a:grpSpLocks/>
        </xdr:cNvGrpSpPr>
      </xdr:nvGrpSpPr>
      <xdr:grpSpPr bwMode="auto">
        <a:xfrm>
          <a:off x="0" y="0"/>
          <a:ext cx="7393738" cy="1280725"/>
          <a:chOff x="57150" y="47625"/>
          <a:chExt cx="6316603" cy="1200288"/>
        </a:xfrm>
      </xdr:grpSpPr>
      <xdr:pic>
        <xdr:nvPicPr>
          <xdr:cNvPr id="8" name="1 Imagen" descr="ESCUDO-transp-lema-blanco.png">
            <a:extLst>
              <a:ext uri="{FF2B5EF4-FFF2-40B4-BE49-F238E27FC236}">
                <a16:creationId xmlns:a16="http://schemas.microsoft.com/office/drawing/2014/main" id="{00000000-0008-0000-0E00-000008000000}"/>
              </a:ext>
            </a:extLst>
          </xdr:cNvPr>
          <xdr:cNvPicPr>
            <a:picLocks noChangeAspect="1"/>
          </xdr:cNvPicPr>
        </xdr:nvPicPr>
        <xdr:blipFill>
          <a:blip xmlns:r="http://schemas.openxmlformats.org/officeDocument/2006/relationships" r:embed="rId6"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9" name="3 CuadroTexto">
            <a:extLst>
              <a:ext uri="{FF2B5EF4-FFF2-40B4-BE49-F238E27FC236}">
                <a16:creationId xmlns:a16="http://schemas.microsoft.com/office/drawing/2014/main" id="{00000000-0008-0000-0E00-000009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0" name="1 Grupo">
          <a:extLst>
            <a:ext uri="{FF2B5EF4-FFF2-40B4-BE49-F238E27FC236}">
              <a16:creationId xmlns:a16="http://schemas.microsoft.com/office/drawing/2014/main" id="{C96BF834-6C57-44F8-AB5C-2D23CB75D38E}"/>
            </a:ext>
          </a:extLst>
        </xdr:cNvPr>
        <xdr:cNvGrpSpPr>
          <a:grpSpLocks/>
        </xdr:cNvGrpSpPr>
      </xdr:nvGrpSpPr>
      <xdr:grpSpPr bwMode="auto">
        <a:xfrm>
          <a:off x="0" y="0"/>
          <a:ext cx="7393738" cy="1280725"/>
          <a:chOff x="57150" y="47625"/>
          <a:chExt cx="6316603" cy="1200288"/>
        </a:xfrm>
      </xdr:grpSpPr>
      <xdr:pic>
        <xdr:nvPicPr>
          <xdr:cNvPr id="11" name="1 Imagen" descr="ESCUDO-transp-lema-blanco.png">
            <a:extLst>
              <a:ext uri="{FF2B5EF4-FFF2-40B4-BE49-F238E27FC236}">
                <a16:creationId xmlns:a16="http://schemas.microsoft.com/office/drawing/2014/main" id="{D4695F87-4B3C-4F73-B87C-0C0AB0F5E6E2}"/>
              </a:ext>
            </a:extLst>
          </xdr:cNvPr>
          <xdr:cNvPicPr>
            <a:picLocks noChangeAspect="1"/>
          </xdr:cNvPicPr>
        </xdr:nvPicPr>
        <xdr:blipFill>
          <a:blip xmlns:r="http://schemas.openxmlformats.org/officeDocument/2006/relationships" r:embed="rId6"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2" name="3 CuadroTexto">
            <a:extLst>
              <a:ext uri="{FF2B5EF4-FFF2-40B4-BE49-F238E27FC236}">
                <a16:creationId xmlns:a16="http://schemas.microsoft.com/office/drawing/2014/main" id="{D084E7EC-9A9C-42DB-9DF8-A92DB5CB3293}"/>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3" name="1 Grupo">
          <a:extLst>
            <a:ext uri="{FF2B5EF4-FFF2-40B4-BE49-F238E27FC236}">
              <a16:creationId xmlns:a16="http://schemas.microsoft.com/office/drawing/2014/main" id="{A3C2B36A-AB32-4135-B618-494398EF02FD}"/>
            </a:ext>
          </a:extLst>
        </xdr:cNvPr>
        <xdr:cNvGrpSpPr>
          <a:grpSpLocks/>
        </xdr:cNvGrpSpPr>
      </xdr:nvGrpSpPr>
      <xdr:grpSpPr bwMode="auto">
        <a:xfrm>
          <a:off x="0" y="0"/>
          <a:ext cx="7393738" cy="1280725"/>
          <a:chOff x="57150" y="47625"/>
          <a:chExt cx="6316603" cy="1200288"/>
        </a:xfrm>
      </xdr:grpSpPr>
      <xdr:pic>
        <xdr:nvPicPr>
          <xdr:cNvPr id="14" name="1 Imagen" descr="ESCUDO-transp-lema-blanco.png">
            <a:extLst>
              <a:ext uri="{FF2B5EF4-FFF2-40B4-BE49-F238E27FC236}">
                <a16:creationId xmlns:a16="http://schemas.microsoft.com/office/drawing/2014/main" id="{E1FE1A86-49BD-4DAB-BF8E-D6851D38FED9}"/>
              </a:ext>
            </a:extLst>
          </xdr:cNvPr>
          <xdr:cNvPicPr>
            <a:picLocks noChangeAspect="1"/>
          </xdr:cNvPicPr>
        </xdr:nvPicPr>
        <xdr:blipFill>
          <a:blip xmlns:r="http://schemas.openxmlformats.org/officeDocument/2006/relationships" r:embed="rId6"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5" name="3 CuadroTexto">
            <a:extLst>
              <a:ext uri="{FF2B5EF4-FFF2-40B4-BE49-F238E27FC236}">
                <a16:creationId xmlns:a16="http://schemas.microsoft.com/office/drawing/2014/main" id="{2ED8A752-00E2-492E-A26D-B0ADC9D02752}"/>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6" name="1 Grupo">
          <a:extLst>
            <a:ext uri="{FF2B5EF4-FFF2-40B4-BE49-F238E27FC236}">
              <a16:creationId xmlns:a16="http://schemas.microsoft.com/office/drawing/2014/main" id="{370AECE0-17D8-47EE-88FC-0E08A83F71B3}"/>
            </a:ext>
          </a:extLst>
        </xdr:cNvPr>
        <xdr:cNvGrpSpPr>
          <a:grpSpLocks/>
        </xdr:cNvGrpSpPr>
      </xdr:nvGrpSpPr>
      <xdr:grpSpPr bwMode="auto">
        <a:xfrm>
          <a:off x="0" y="0"/>
          <a:ext cx="7393738" cy="1280725"/>
          <a:chOff x="57150" y="47625"/>
          <a:chExt cx="6316603" cy="1200288"/>
        </a:xfrm>
      </xdr:grpSpPr>
      <xdr:pic>
        <xdr:nvPicPr>
          <xdr:cNvPr id="17" name="1 Imagen" descr="ESCUDO-transp-lema-blanco.png">
            <a:extLst>
              <a:ext uri="{FF2B5EF4-FFF2-40B4-BE49-F238E27FC236}">
                <a16:creationId xmlns:a16="http://schemas.microsoft.com/office/drawing/2014/main" id="{4C3DBCBB-55F1-406F-873F-748EA63C793C}"/>
              </a:ext>
            </a:extLst>
          </xdr:cNvPr>
          <xdr:cNvPicPr>
            <a:picLocks noChangeAspect="1"/>
          </xdr:cNvPicPr>
        </xdr:nvPicPr>
        <xdr:blipFill>
          <a:blip xmlns:r="http://schemas.openxmlformats.org/officeDocument/2006/relationships" r:embed="rId6"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8" name="3 CuadroTexto">
            <a:extLst>
              <a:ext uri="{FF2B5EF4-FFF2-40B4-BE49-F238E27FC236}">
                <a16:creationId xmlns:a16="http://schemas.microsoft.com/office/drawing/2014/main" id="{4E0F937E-7257-4271-82F2-3CF59FBF50B2}"/>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6726</xdr:colOff>
      <xdr:row>72</xdr:row>
      <xdr:rowOff>0</xdr:rowOff>
    </xdr:from>
    <xdr:to>
      <xdr:col>3</xdr:col>
      <xdr:colOff>6726</xdr:colOff>
      <xdr:row>73</xdr:row>
      <xdr:rowOff>83843</xdr:rowOff>
    </xdr:to>
    <xdr:pic>
      <xdr:nvPicPr>
        <xdr:cNvPr id="2" name="Imagen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8843" y="32793214"/>
          <a:ext cx="0" cy="1152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0F00-000003000000}"/>
            </a:ext>
          </a:extLst>
        </xdr:cNvPr>
        <xdr:cNvGrpSpPr>
          <a:grpSpLocks/>
        </xdr:cNvGrpSpPr>
      </xdr:nvGrpSpPr>
      <xdr:grpSpPr bwMode="auto">
        <a:xfrm>
          <a:off x="0" y="0"/>
          <a:ext cx="7759965" cy="1279559"/>
          <a:chOff x="57150" y="47625"/>
          <a:chExt cx="6316603" cy="1200288"/>
        </a:xfrm>
      </xdr:grpSpPr>
      <xdr:pic>
        <xdr:nvPicPr>
          <xdr:cNvPr id="4" name="1 Imagen" descr="ESCUDO-transp-lema-blanco.png">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0F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6" name="1 Grupo">
          <a:extLst>
            <a:ext uri="{FF2B5EF4-FFF2-40B4-BE49-F238E27FC236}">
              <a16:creationId xmlns:a16="http://schemas.microsoft.com/office/drawing/2014/main" id="{C5B5F187-9453-4423-B534-5EA96B7605B2}"/>
            </a:ext>
          </a:extLst>
        </xdr:cNvPr>
        <xdr:cNvGrpSpPr>
          <a:grpSpLocks/>
        </xdr:cNvGrpSpPr>
      </xdr:nvGrpSpPr>
      <xdr:grpSpPr bwMode="auto">
        <a:xfrm>
          <a:off x="0" y="0"/>
          <a:ext cx="7759965" cy="1279559"/>
          <a:chOff x="57150" y="47625"/>
          <a:chExt cx="6316603" cy="1200288"/>
        </a:xfrm>
      </xdr:grpSpPr>
      <xdr:pic>
        <xdr:nvPicPr>
          <xdr:cNvPr id="7" name="1 Imagen" descr="ESCUDO-transp-lema-blanco.png">
            <a:extLst>
              <a:ext uri="{FF2B5EF4-FFF2-40B4-BE49-F238E27FC236}">
                <a16:creationId xmlns:a16="http://schemas.microsoft.com/office/drawing/2014/main" id="{6E33DB7B-EB2E-491F-B31D-7AA1F266FB65}"/>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8" name="3 CuadroTexto">
            <a:extLst>
              <a:ext uri="{FF2B5EF4-FFF2-40B4-BE49-F238E27FC236}">
                <a16:creationId xmlns:a16="http://schemas.microsoft.com/office/drawing/2014/main" id="{7D3D39BA-3486-4318-8AD0-2D91309A0A49}"/>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9" name="1 Grupo">
          <a:extLst>
            <a:ext uri="{FF2B5EF4-FFF2-40B4-BE49-F238E27FC236}">
              <a16:creationId xmlns:a16="http://schemas.microsoft.com/office/drawing/2014/main" id="{84529F20-82DD-41C2-AD4B-5915D5DAEABF}"/>
            </a:ext>
          </a:extLst>
        </xdr:cNvPr>
        <xdr:cNvGrpSpPr>
          <a:grpSpLocks/>
        </xdr:cNvGrpSpPr>
      </xdr:nvGrpSpPr>
      <xdr:grpSpPr bwMode="auto">
        <a:xfrm>
          <a:off x="0" y="0"/>
          <a:ext cx="7759965" cy="1279559"/>
          <a:chOff x="57150" y="47625"/>
          <a:chExt cx="6316603" cy="1200288"/>
        </a:xfrm>
      </xdr:grpSpPr>
      <xdr:pic>
        <xdr:nvPicPr>
          <xdr:cNvPr id="10" name="1 Imagen" descr="ESCUDO-transp-lema-blanco.png">
            <a:extLst>
              <a:ext uri="{FF2B5EF4-FFF2-40B4-BE49-F238E27FC236}">
                <a16:creationId xmlns:a16="http://schemas.microsoft.com/office/drawing/2014/main" id="{564F8514-07C1-4DBD-A2BB-9B3F3788BF46}"/>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1" name="3 CuadroTexto">
            <a:extLst>
              <a:ext uri="{FF2B5EF4-FFF2-40B4-BE49-F238E27FC236}">
                <a16:creationId xmlns:a16="http://schemas.microsoft.com/office/drawing/2014/main" id="{F0E3A669-AAD6-40CD-A50A-F3D835EEF8CF}"/>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2" name="1 Grupo">
          <a:extLst>
            <a:ext uri="{FF2B5EF4-FFF2-40B4-BE49-F238E27FC236}">
              <a16:creationId xmlns:a16="http://schemas.microsoft.com/office/drawing/2014/main" id="{BAA3C273-D7F9-4473-B021-5EADAD37CB36}"/>
            </a:ext>
          </a:extLst>
        </xdr:cNvPr>
        <xdr:cNvGrpSpPr>
          <a:grpSpLocks/>
        </xdr:cNvGrpSpPr>
      </xdr:nvGrpSpPr>
      <xdr:grpSpPr bwMode="auto">
        <a:xfrm>
          <a:off x="0" y="0"/>
          <a:ext cx="7759965" cy="1279559"/>
          <a:chOff x="57150" y="47625"/>
          <a:chExt cx="6316603" cy="1200288"/>
        </a:xfrm>
      </xdr:grpSpPr>
      <xdr:pic>
        <xdr:nvPicPr>
          <xdr:cNvPr id="13" name="1 Imagen" descr="ESCUDO-transp-lema-blanco.png">
            <a:extLst>
              <a:ext uri="{FF2B5EF4-FFF2-40B4-BE49-F238E27FC236}">
                <a16:creationId xmlns:a16="http://schemas.microsoft.com/office/drawing/2014/main" id="{E082FC52-3DD5-4EDB-AC5A-A81EC5BB9A8C}"/>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4" name="3 CuadroTexto">
            <a:extLst>
              <a:ext uri="{FF2B5EF4-FFF2-40B4-BE49-F238E27FC236}">
                <a16:creationId xmlns:a16="http://schemas.microsoft.com/office/drawing/2014/main" id="{830BCE15-8677-456D-986D-C1FF34C83611}"/>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4821</xdr:colOff>
      <xdr:row>71</xdr:row>
      <xdr:rowOff>38100</xdr:rowOff>
    </xdr:from>
    <xdr:to>
      <xdr:col>3</xdr:col>
      <xdr:colOff>6816</xdr:colOff>
      <xdr:row>72</xdr:row>
      <xdr:rowOff>68598</xdr:rowOff>
    </xdr:to>
    <xdr:pic>
      <xdr:nvPicPr>
        <xdr:cNvPr id="2" name="Imagen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6938" y="22159427"/>
          <a:ext cx="1995" cy="32281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2916</xdr:colOff>
      <xdr:row>78</xdr:row>
      <xdr:rowOff>419100</xdr:rowOff>
    </xdr:from>
    <xdr:to>
      <xdr:col>3</xdr:col>
      <xdr:colOff>3012</xdr:colOff>
      <xdr:row>80</xdr:row>
      <xdr:rowOff>152432</xdr:rowOff>
    </xdr:to>
    <xdr:pic>
      <xdr:nvPicPr>
        <xdr:cNvPr id="3" name="Imagen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5033" y="30345095"/>
          <a:ext cx="96" cy="23284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000-000004000000}"/>
            </a:ext>
          </a:extLst>
        </xdr:cNvPr>
        <xdr:cNvGrpSpPr>
          <a:grpSpLocks/>
        </xdr:cNvGrpSpPr>
      </xdr:nvGrpSpPr>
      <xdr:grpSpPr bwMode="auto">
        <a:xfrm>
          <a:off x="0" y="0"/>
          <a:ext cx="6142658" cy="1279559"/>
          <a:chOff x="57150" y="47625"/>
          <a:chExt cx="6316603" cy="1200288"/>
        </a:xfrm>
      </xdr:grpSpPr>
      <xdr:pic>
        <xdr:nvPicPr>
          <xdr:cNvPr id="5" name="1 Imagen" descr="ESCUDO-transp-lema-blanco.png">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0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7" name="1 Grupo">
          <a:extLst>
            <a:ext uri="{FF2B5EF4-FFF2-40B4-BE49-F238E27FC236}">
              <a16:creationId xmlns:a16="http://schemas.microsoft.com/office/drawing/2014/main" id="{5630BCF4-B25A-47CE-9457-8AA7CEB26454}"/>
            </a:ext>
          </a:extLst>
        </xdr:cNvPr>
        <xdr:cNvGrpSpPr>
          <a:grpSpLocks/>
        </xdr:cNvGrpSpPr>
      </xdr:nvGrpSpPr>
      <xdr:grpSpPr bwMode="auto">
        <a:xfrm>
          <a:off x="0" y="0"/>
          <a:ext cx="6142658" cy="1279559"/>
          <a:chOff x="57150" y="47625"/>
          <a:chExt cx="6316603" cy="1200288"/>
        </a:xfrm>
      </xdr:grpSpPr>
      <xdr:pic>
        <xdr:nvPicPr>
          <xdr:cNvPr id="8" name="1 Imagen" descr="ESCUDO-transp-lema-blanco.png">
            <a:extLst>
              <a:ext uri="{FF2B5EF4-FFF2-40B4-BE49-F238E27FC236}">
                <a16:creationId xmlns:a16="http://schemas.microsoft.com/office/drawing/2014/main" id="{527F1B05-64CF-44F8-A712-950CDE48802A}"/>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9" name="3 CuadroTexto">
            <a:extLst>
              <a:ext uri="{FF2B5EF4-FFF2-40B4-BE49-F238E27FC236}">
                <a16:creationId xmlns:a16="http://schemas.microsoft.com/office/drawing/2014/main" id="{A3306A63-BF28-4887-8C7A-524FF6B0CBA8}"/>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0" name="1 Grupo">
          <a:extLst>
            <a:ext uri="{FF2B5EF4-FFF2-40B4-BE49-F238E27FC236}">
              <a16:creationId xmlns:a16="http://schemas.microsoft.com/office/drawing/2014/main" id="{D9BEB4EF-05E9-4E69-9624-75C1DC0415EC}"/>
            </a:ext>
          </a:extLst>
        </xdr:cNvPr>
        <xdr:cNvGrpSpPr>
          <a:grpSpLocks/>
        </xdr:cNvGrpSpPr>
      </xdr:nvGrpSpPr>
      <xdr:grpSpPr bwMode="auto">
        <a:xfrm>
          <a:off x="0" y="0"/>
          <a:ext cx="6142658" cy="1279559"/>
          <a:chOff x="57150" y="47625"/>
          <a:chExt cx="6316603" cy="1200288"/>
        </a:xfrm>
      </xdr:grpSpPr>
      <xdr:pic>
        <xdr:nvPicPr>
          <xdr:cNvPr id="11" name="1 Imagen" descr="ESCUDO-transp-lema-blanco.png">
            <a:extLst>
              <a:ext uri="{FF2B5EF4-FFF2-40B4-BE49-F238E27FC236}">
                <a16:creationId xmlns:a16="http://schemas.microsoft.com/office/drawing/2014/main" id="{05969C47-F81F-4810-B185-A1E2AEE22AD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2" name="3 CuadroTexto">
            <a:extLst>
              <a:ext uri="{FF2B5EF4-FFF2-40B4-BE49-F238E27FC236}">
                <a16:creationId xmlns:a16="http://schemas.microsoft.com/office/drawing/2014/main" id="{96E971DA-FB0D-45A6-B7AD-7AD89C303F63}"/>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3" name="1 Grupo">
          <a:extLst>
            <a:ext uri="{FF2B5EF4-FFF2-40B4-BE49-F238E27FC236}">
              <a16:creationId xmlns:a16="http://schemas.microsoft.com/office/drawing/2014/main" id="{DFAD292A-9CE5-4F37-A531-99B636FEA43A}"/>
            </a:ext>
          </a:extLst>
        </xdr:cNvPr>
        <xdr:cNvGrpSpPr>
          <a:grpSpLocks/>
        </xdr:cNvGrpSpPr>
      </xdr:nvGrpSpPr>
      <xdr:grpSpPr bwMode="auto">
        <a:xfrm>
          <a:off x="0" y="0"/>
          <a:ext cx="6142658" cy="1279559"/>
          <a:chOff x="57150" y="47625"/>
          <a:chExt cx="6316603" cy="1200288"/>
        </a:xfrm>
      </xdr:grpSpPr>
      <xdr:pic>
        <xdr:nvPicPr>
          <xdr:cNvPr id="14" name="1 Imagen" descr="ESCUDO-transp-lema-blanco.png">
            <a:extLst>
              <a:ext uri="{FF2B5EF4-FFF2-40B4-BE49-F238E27FC236}">
                <a16:creationId xmlns:a16="http://schemas.microsoft.com/office/drawing/2014/main" id="{D577FC6C-7B24-4CC4-8D5A-25AA166C452B}"/>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5" name="3 CuadroTexto">
            <a:extLst>
              <a:ext uri="{FF2B5EF4-FFF2-40B4-BE49-F238E27FC236}">
                <a16:creationId xmlns:a16="http://schemas.microsoft.com/office/drawing/2014/main" id="{3367E8CD-1CA9-4AF9-8236-A58B45BBC83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329566</xdr:colOff>
      <xdr:row>134</xdr:row>
      <xdr:rowOff>15240</xdr:rowOff>
    </xdr:from>
    <xdr:to>
      <xdr:col>3</xdr:col>
      <xdr:colOff>4955</xdr:colOff>
      <xdr:row>135</xdr:row>
      <xdr:rowOff>137186</xdr:rowOff>
    </xdr:to>
    <xdr:pic>
      <xdr:nvPicPr>
        <xdr:cNvPr id="2" name="Imagen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1224" y="36929475"/>
          <a:ext cx="5848" cy="3163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1100-000003000000}"/>
            </a:ext>
          </a:extLst>
        </xdr:cNvPr>
        <xdr:cNvGrpSpPr>
          <a:grpSpLocks/>
        </xdr:cNvGrpSpPr>
      </xdr:nvGrpSpPr>
      <xdr:grpSpPr bwMode="auto">
        <a:xfrm>
          <a:off x="0" y="0"/>
          <a:ext cx="7021291" cy="1279559"/>
          <a:chOff x="57150" y="47625"/>
          <a:chExt cx="6316603" cy="1200288"/>
        </a:xfrm>
      </xdr:grpSpPr>
      <xdr:pic>
        <xdr:nvPicPr>
          <xdr:cNvPr id="4" name="1 Imagen" descr="ESCUDO-transp-lema-blanco.png">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11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6" name="1 Grupo">
          <a:extLst>
            <a:ext uri="{FF2B5EF4-FFF2-40B4-BE49-F238E27FC236}">
              <a16:creationId xmlns:a16="http://schemas.microsoft.com/office/drawing/2014/main" id="{643ADF30-2FC7-46F6-9E6C-017AC74FCF47}"/>
            </a:ext>
          </a:extLst>
        </xdr:cNvPr>
        <xdr:cNvGrpSpPr>
          <a:grpSpLocks/>
        </xdr:cNvGrpSpPr>
      </xdr:nvGrpSpPr>
      <xdr:grpSpPr bwMode="auto">
        <a:xfrm>
          <a:off x="0" y="0"/>
          <a:ext cx="7021291" cy="1279559"/>
          <a:chOff x="57150" y="47625"/>
          <a:chExt cx="6316603" cy="1200288"/>
        </a:xfrm>
      </xdr:grpSpPr>
      <xdr:pic>
        <xdr:nvPicPr>
          <xdr:cNvPr id="7" name="1 Imagen" descr="ESCUDO-transp-lema-blanco.png">
            <a:extLst>
              <a:ext uri="{FF2B5EF4-FFF2-40B4-BE49-F238E27FC236}">
                <a16:creationId xmlns:a16="http://schemas.microsoft.com/office/drawing/2014/main" id="{E06CE3C0-DB7A-4C7B-B422-45D2FC78D851}"/>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8" name="3 CuadroTexto">
            <a:extLst>
              <a:ext uri="{FF2B5EF4-FFF2-40B4-BE49-F238E27FC236}">
                <a16:creationId xmlns:a16="http://schemas.microsoft.com/office/drawing/2014/main" id="{BB9A6D01-DAAA-48E8-BB6B-A3E5906C59C4}"/>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9" name="1 Grupo">
          <a:extLst>
            <a:ext uri="{FF2B5EF4-FFF2-40B4-BE49-F238E27FC236}">
              <a16:creationId xmlns:a16="http://schemas.microsoft.com/office/drawing/2014/main" id="{3572A274-FFD3-4425-836E-34B80BBC2109}"/>
            </a:ext>
          </a:extLst>
        </xdr:cNvPr>
        <xdr:cNvGrpSpPr>
          <a:grpSpLocks/>
        </xdr:cNvGrpSpPr>
      </xdr:nvGrpSpPr>
      <xdr:grpSpPr bwMode="auto">
        <a:xfrm>
          <a:off x="0" y="0"/>
          <a:ext cx="7021291" cy="1279559"/>
          <a:chOff x="57150" y="47625"/>
          <a:chExt cx="6316603" cy="1200288"/>
        </a:xfrm>
      </xdr:grpSpPr>
      <xdr:pic>
        <xdr:nvPicPr>
          <xdr:cNvPr id="10" name="1 Imagen" descr="ESCUDO-transp-lema-blanco.png">
            <a:extLst>
              <a:ext uri="{FF2B5EF4-FFF2-40B4-BE49-F238E27FC236}">
                <a16:creationId xmlns:a16="http://schemas.microsoft.com/office/drawing/2014/main" id="{AA284D76-FAE0-4927-9C24-28A4EFCC8F3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1" name="3 CuadroTexto">
            <a:extLst>
              <a:ext uri="{FF2B5EF4-FFF2-40B4-BE49-F238E27FC236}">
                <a16:creationId xmlns:a16="http://schemas.microsoft.com/office/drawing/2014/main" id="{BCCB21BD-B484-4171-94E8-F7F7B8C86D07}"/>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2" name="1 Grupo">
          <a:extLst>
            <a:ext uri="{FF2B5EF4-FFF2-40B4-BE49-F238E27FC236}">
              <a16:creationId xmlns:a16="http://schemas.microsoft.com/office/drawing/2014/main" id="{033D8627-711B-47BA-8D23-F61464ACCB41}"/>
            </a:ext>
          </a:extLst>
        </xdr:cNvPr>
        <xdr:cNvGrpSpPr>
          <a:grpSpLocks/>
        </xdr:cNvGrpSpPr>
      </xdr:nvGrpSpPr>
      <xdr:grpSpPr bwMode="auto">
        <a:xfrm>
          <a:off x="0" y="0"/>
          <a:ext cx="7021291" cy="1279559"/>
          <a:chOff x="57150" y="47625"/>
          <a:chExt cx="6316603" cy="1200288"/>
        </a:xfrm>
      </xdr:grpSpPr>
      <xdr:pic>
        <xdr:nvPicPr>
          <xdr:cNvPr id="13" name="1 Imagen" descr="ESCUDO-transp-lema-blanco.png">
            <a:extLst>
              <a:ext uri="{FF2B5EF4-FFF2-40B4-BE49-F238E27FC236}">
                <a16:creationId xmlns:a16="http://schemas.microsoft.com/office/drawing/2014/main" id="{24F57162-9C55-4DCA-AFBD-970A2089FC65}"/>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4" name="3 CuadroTexto">
            <a:extLst>
              <a:ext uri="{FF2B5EF4-FFF2-40B4-BE49-F238E27FC236}">
                <a16:creationId xmlns:a16="http://schemas.microsoft.com/office/drawing/2014/main" id="{0233F12C-5F5F-4976-9563-5694E8349F45}"/>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556261</xdr:colOff>
      <xdr:row>79</xdr:row>
      <xdr:rowOff>30480</xdr:rowOff>
    </xdr:from>
    <xdr:to>
      <xdr:col>2</xdr:col>
      <xdr:colOff>2187082</xdr:colOff>
      <xdr:row>80</xdr:row>
      <xdr:rowOff>129564</xdr:rowOff>
    </xdr:to>
    <xdr:pic>
      <xdr:nvPicPr>
        <xdr:cNvPr id="2" name="Imagen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67841" y="20139660"/>
          <a:ext cx="1630821" cy="281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1200-000003000000}"/>
            </a:ext>
          </a:extLst>
        </xdr:cNvPr>
        <xdr:cNvGrpSpPr>
          <a:grpSpLocks/>
        </xdr:cNvGrpSpPr>
      </xdr:nvGrpSpPr>
      <xdr:grpSpPr bwMode="auto">
        <a:xfrm>
          <a:off x="0" y="0"/>
          <a:ext cx="5598373" cy="1279559"/>
          <a:chOff x="57150" y="47625"/>
          <a:chExt cx="6316603" cy="1200288"/>
        </a:xfrm>
      </xdr:grpSpPr>
      <xdr:pic>
        <xdr:nvPicPr>
          <xdr:cNvPr id="4" name="1 Imagen" descr="ESCUDO-transp-lema-blanco.png">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12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6" name="1 Grupo">
          <a:extLst>
            <a:ext uri="{FF2B5EF4-FFF2-40B4-BE49-F238E27FC236}">
              <a16:creationId xmlns:a16="http://schemas.microsoft.com/office/drawing/2014/main" id="{8FAD8697-247C-4DB8-B5EE-A2CB6AB89C58}"/>
            </a:ext>
          </a:extLst>
        </xdr:cNvPr>
        <xdr:cNvGrpSpPr>
          <a:grpSpLocks/>
        </xdr:cNvGrpSpPr>
      </xdr:nvGrpSpPr>
      <xdr:grpSpPr bwMode="auto">
        <a:xfrm>
          <a:off x="0" y="0"/>
          <a:ext cx="5598373" cy="1279559"/>
          <a:chOff x="57150" y="47625"/>
          <a:chExt cx="6316603" cy="1200288"/>
        </a:xfrm>
      </xdr:grpSpPr>
      <xdr:pic>
        <xdr:nvPicPr>
          <xdr:cNvPr id="7" name="1 Imagen" descr="ESCUDO-transp-lema-blanco.png">
            <a:extLst>
              <a:ext uri="{FF2B5EF4-FFF2-40B4-BE49-F238E27FC236}">
                <a16:creationId xmlns:a16="http://schemas.microsoft.com/office/drawing/2014/main" id="{5CD93A83-51A1-4A4B-91F6-3233CC2BDF99}"/>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8" name="3 CuadroTexto">
            <a:extLst>
              <a:ext uri="{FF2B5EF4-FFF2-40B4-BE49-F238E27FC236}">
                <a16:creationId xmlns:a16="http://schemas.microsoft.com/office/drawing/2014/main" id="{1E59D573-3FF6-4E85-AC84-6CBC4DD13FEB}"/>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9" name="1 Grupo">
          <a:extLst>
            <a:ext uri="{FF2B5EF4-FFF2-40B4-BE49-F238E27FC236}">
              <a16:creationId xmlns:a16="http://schemas.microsoft.com/office/drawing/2014/main" id="{7136EA67-10E6-413F-B1AB-68E9BD0F8B6F}"/>
            </a:ext>
          </a:extLst>
        </xdr:cNvPr>
        <xdr:cNvGrpSpPr>
          <a:grpSpLocks/>
        </xdr:cNvGrpSpPr>
      </xdr:nvGrpSpPr>
      <xdr:grpSpPr bwMode="auto">
        <a:xfrm>
          <a:off x="0" y="0"/>
          <a:ext cx="5598373" cy="1279559"/>
          <a:chOff x="57150" y="47625"/>
          <a:chExt cx="6316603" cy="1200288"/>
        </a:xfrm>
      </xdr:grpSpPr>
      <xdr:pic>
        <xdr:nvPicPr>
          <xdr:cNvPr id="10" name="1 Imagen" descr="ESCUDO-transp-lema-blanco.png">
            <a:extLst>
              <a:ext uri="{FF2B5EF4-FFF2-40B4-BE49-F238E27FC236}">
                <a16:creationId xmlns:a16="http://schemas.microsoft.com/office/drawing/2014/main" id="{02568295-8AD4-44B2-B82A-E39828156646}"/>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1" name="3 CuadroTexto">
            <a:extLst>
              <a:ext uri="{FF2B5EF4-FFF2-40B4-BE49-F238E27FC236}">
                <a16:creationId xmlns:a16="http://schemas.microsoft.com/office/drawing/2014/main" id="{E1F99F6A-C0BF-44B5-8AA4-3B6F359256AA}"/>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472440</xdr:colOff>
      <xdr:row>84</xdr:row>
      <xdr:rowOff>15240</xdr:rowOff>
    </xdr:from>
    <xdr:to>
      <xdr:col>2</xdr:col>
      <xdr:colOff>2110882</xdr:colOff>
      <xdr:row>85</xdr:row>
      <xdr:rowOff>137186</xdr:rowOff>
    </xdr:to>
    <xdr:pic>
      <xdr:nvPicPr>
        <xdr:cNvPr id="2" name="Imagen 1">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84020" y="23416260"/>
          <a:ext cx="1638442" cy="304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0</xdr:colOff>
      <xdr:row>18</xdr:row>
      <xdr:rowOff>0</xdr:rowOff>
    </xdr:from>
    <xdr:to>
      <xdr:col>21</xdr:col>
      <xdr:colOff>675005</xdr:colOff>
      <xdr:row>61</xdr:row>
      <xdr:rowOff>73660</xdr:rowOff>
    </xdr:to>
    <xdr:graphicFrame macro="">
      <xdr:nvGraphicFramePr>
        <xdr:cNvPr id="3" name="Diagrama 2">
          <a:extLst>
            <a:ext uri="{FF2B5EF4-FFF2-40B4-BE49-F238E27FC236}">
              <a16:creationId xmlns:a16="http://schemas.microsoft.com/office/drawing/2014/main" id="{00000000-0008-0000-1300-000003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300-000004000000}"/>
            </a:ext>
          </a:extLst>
        </xdr:cNvPr>
        <xdr:cNvGrpSpPr>
          <a:grpSpLocks/>
        </xdr:cNvGrpSpPr>
      </xdr:nvGrpSpPr>
      <xdr:grpSpPr bwMode="auto">
        <a:xfrm>
          <a:off x="0" y="0"/>
          <a:ext cx="6842454" cy="1279559"/>
          <a:chOff x="57150" y="47625"/>
          <a:chExt cx="6316603" cy="1200288"/>
        </a:xfrm>
      </xdr:grpSpPr>
      <xdr:pic>
        <xdr:nvPicPr>
          <xdr:cNvPr id="5" name="1 Imagen" descr="ESCUDO-transp-lema-blanco.png">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7"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3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7" name="1 Grupo">
          <a:extLst>
            <a:ext uri="{FF2B5EF4-FFF2-40B4-BE49-F238E27FC236}">
              <a16:creationId xmlns:a16="http://schemas.microsoft.com/office/drawing/2014/main" id="{F283297E-8616-4C39-A77C-C0D67AD219BD}"/>
            </a:ext>
          </a:extLst>
        </xdr:cNvPr>
        <xdr:cNvGrpSpPr>
          <a:grpSpLocks/>
        </xdr:cNvGrpSpPr>
      </xdr:nvGrpSpPr>
      <xdr:grpSpPr bwMode="auto">
        <a:xfrm>
          <a:off x="0" y="0"/>
          <a:ext cx="6842454" cy="1279559"/>
          <a:chOff x="57150" y="47625"/>
          <a:chExt cx="6316603" cy="1200288"/>
        </a:xfrm>
      </xdr:grpSpPr>
      <xdr:pic>
        <xdr:nvPicPr>
          <xdr:cNvPr id="8" name="1 Imagen" descr="ESCUDO-transp-lema-blanco.png">
            <a:extLst>
              <a:ext uri="{FF2B5EF4-FFF2-40B4-BE49-F238E27FC236}">
                <a16:creationId xmlns:a16="http://schemas.microsoft.com/office/drawing/2014/main" id="{18A12D31-316C-4CF5-A2F2-51A14FC6E39C}"/>
              </a:ext>
            </a:extLst>
          </xdr:cNvPr>
          <xdr:cNvPicPr>
            <a:picLocks noChangeAspect="1"/>
          </xdr:cNvPicPr>
        </xdr:nvPicPr>
        <xdr:blipFill>
          <a:blip xmlns:r="http://schemas.openxmlformats.org/officeDocument/2006/relationships" r:embed="rId7"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9" name="3 CuadroTexto">
            <a:extLst>
              <a:ext uri="{FF2B5EF4-FFF2-40B4-BE49-F238E27FC236}">
                <a16:creationId xmlns:a16="http://schemas.microsoft.com/office/drawing/2014/main" id="{A180582F-E71F-4469-A84A-9F86279FF38A}"/>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0" name="1 Grupo">
          <a:extLst>
            <a:ext uri="{FF2B5EF4-FFF2-40B4-BE49-F238E27FC236}">
              <a16:creationId xmlns:a16="http://schemas.microsoft.com/office/drawing/2014/main" id="{65DE9AC1-438C-40B9-9DF3-98E70033CD72}"/>
            </a:ext>
          </a:extLst>
        </xdr:cNvPr>
        <xdr:cNvGrpSpPr>
          <a:grpSpLocks/>
        </xdr:cNvGrpSpPr>
      </xdr:nvGrpSpPr>
      <xdr:grpSpPr bwMode="auto">
        <a:xfrm>
          <a:off x="0" y="0"/>
          <a:ext cx="6842454" cy="1279559"/>
          <a:chOff x="57150" y="47625"/>
          <a:chExt cx="6316603" cy="1200288"/>
        </a:xfrm>
      </xdr:grpSpPr>
      <xdr:pic>
        <xdr:nvPicPr>
          <xdr:cNvPr id="11" name="1 Imagen" descr="ESCUDO-transp-lema-blanco.png">
            <a:extLst>
              <a:ext uri="{FF2B5EF4-FFF2-40B4-BE49-F238E27FC236}">
                <a16:creationId xmlns:a16="http://schemas.microsoft.com/office/drawing/2014/main" id="{51EC192F-6FAE-4E1C-95F9-C69E00B64C5E}"/>
              </a:ext>
            </a:extLst>
          </xdr:cNvPr>
          <xdr:cNvPicPr>
            <a:picLocks noChangeAspect="1"/>
          </xdr:cNvPicPr>
        </xdr:nvPicPr>
        <xdr:blipFill>
          <a:blip xmlns:r="http://schemas.openxmlformats.org/officeDocument/2006/relationships" r:embed="rId7"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2" name="3 CuadroTexto">
            <a:extLst>
              <a:ext uri="{FF2B5EF4-FFF2-40B4-BE49-F238E27FC236}">
                <a16:creationId xmlns:a16="http://schemas.microsoft.com/office/drawing/2014/main" id="{5BB7EAB8-BF72-4714-A9B6-85D9DD819F37}"/>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3</xdr:col>
      <xdr:colOff>2072</xdr:colOff>
      <xdr:row>74</xdr:row>
      <xdr:rowOff>68580</xdr:rowOff>
    </xdr:from>
    <xdr:to>
      <xdr:col>3</xdr:col>
      <xdr:colOff>2181</xdr:colOff>
      <xdr:row>76</xdr:row>
      <xdr:rowOff>26</xdr:rowOff>
    </xdr:to>
    <xdr:pic>
      <xdr:nvPicPr>
        <xdr:cNvPr id="2" name="Imagen 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3485" y="33475102"/>
          <a:ext cx="109" cy="3120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2072</xdr:colOff>
      <xdr:row>81</xdr:row>
      <xdr:rowOff>53340</xdr:rowOff>
    </xdr:from>
    <xdr:to>
      <xdr:col>3</xdr:col>
      <xdr:colOff>5973</xdr:colOff>
      <xdr:row>83</xdr:row>
      <xdr:rowOff>60992</xdr:rowOff>
    </xdr:to>
    <xdr:pic>
      <xdr:nvPicPr>
        <xdr:cNvPr id="3" name="Imagen 2">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3485" y="40955623"/>
          <a:ext cx="3901" cy="6840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400-000004000000}"/>
            </a:ext>
          </a:extLst>
        </xdr:cNvPr>
        <xdr:cNvGrpSpPr>
          <a:grpSpLocks/>
        </xdr:cNvGrpSpPr>
      </xdr:nvGrpSpPr>
      <xdr:grpSpPr bwMode="auto">
        <a:xfrm>
          <a:off x="0" y="0"/>
          <a:ext cx="7123080" cy="1280972"/>
          <a:chOff x="57150" y="47625"/>
          <a:chExt cx="6316603" cy="1200288"/>
        </a:xfrm>
      </xdr:grpSpPr>
      <xdr:pic>
        <xdr:nvPicPr>
          <xdr:cNvPr id="5" name="1 Imagen" descr="ESCUDO-transp-lema-blanco.png">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4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7" name="1 Grupo">
          <a:extLst>
            <a:ext uri="{FF2B5EF4-FFF2-40B4-BE49-F238E27FC236}">
              <a16:creationId xmlns:a16="http://schemas.microsoft.com/office/drawing/2014/main" id="{DC2A5DE2-3B17-4E3F-A88B-4D47A534819B}"/>
            </a:ext>
          </a:extLst>
        </xdr:cNvPr>
        <xdr:cNvGrpSpPr>
          <a:grpSpLocks/>
        </xdr:cNvGrpSpPr>
      </xdr:nvGrpSpPr>
      <xdr:grpSpPr bwMode="auto">
        <a:xfrm>
          <a:off x="0" y="0"/>
          <a:ext cx="7123080" cy="1280972"/>
          <a:chOff x="57150" y="47625"/>
          <a:chExt cx="6316603" cy="1200288"/>
        </a:xfrm>
      </xdr:grpSpPr>
      <xdr:pic>
        <xdr:nvPicPr>
          <xdr:cNvPr id="8" name="1 Imagen" descr="ESCUDO-transp-lema-blanco.png">
            <a:extLst>
              <a:ext uri="{FF2B5EF4-FFF2-40B4-BE49-F238E27FC236}">
                <a16:creationId xmlns:a16="http://schemas.microsoft.com/office/drawing/2014/main" id="{6A1D5B81-6843-40FB-A552-9A1BCC9D1F8C}"/>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9" name="3 CuadroTexto">
            <a:extLst>
              <a:ext uri="{FF2B5EF4-FFF2-40B4-BE49-F238E27FC236}">
                <a16:creationId xmlns:a16="http://schemas.microsoft.com/office/drawing/2014/main" id="{A85EB3C6-4CE2-4C66-85D4-3D632F5CF212}"/>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762000</xdr:colOff>
      <xdr:row>83</xdr:row>
      <xdr:rowOff>106680</xdr:rowOff>
    </xdr:from>
    <xdr:to>
      <xdr:col>2</xdr:col>
      <xdr:colOff>1981306</xdr:colOff>
      <xdr:row>84</xdr:row>
      <xdr:rowOff>160040</xdr:rowOff>
    </xdr:to>
    <xdr:pic>
      <xdr:nvPicPr>
        <xdr:cNvPr id="2" name="Imagen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44040" y="26692860"/>
          <a:ext cx="1219306" cy="236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693421</xdr:colOff>
      <xdr:row>89</xdr:row>
      <xdr:rowOff>419100</xdr:rowOff>
    </xdr:from>
    <xdr:to>
      <xdr:col>2</xdr:col>
      <xdr:colOff>1790796</xdr:colOff>
      <xdr:row>91</xdr:row>
      <xdr:rowOff>152432</xdr:rowOff>
    </xdr:to>
    <xdr:pic>
      <xdr:nvPicPr>
        <xdr:cNvPr id="3" name="Imagen 2">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75461" y="29016960"/>
          <a:ext cx="1097375" cy="373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500-000004000000}"/>
            </a:ext>
          </a:extLst>
        </xdr:cNvPr>
        <xdr:cNvGrpSpPr>
          <a:grpSpLocks/>
        </xdr:cNvGrpSpPr>
      </xdr:nvGrpSpPr>
      <xdr:grpSpPr bwMode="auto">
        <a:xfrm>
          <a:off x="0" y="0"/>
          <a:ext cx="5264026" cy="1279559"/>
          <a:chOff x="57150" y="47625"/>
          <a:chExt cx="6316603" cy="1200288"/>
        </a:xfrm>
      </xdr:grpSpPr>
      <xdr:pic>
        <xdr:nvPicPr>
          <xdr:cNvPr id="5" name="1 Imagen" descr="ESCUDO-transp-lema-blanco.png">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5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7" name="1 Grupo">
          <a:extLst>
            <a:ext uri="{FF2B5EF4-FFF2-40B4-BE49-F238E27FC236}">
              <a16:creationId xmlns:a16="http://schemas.microsoft.com/office/drawing/2014/main" id="{B652A817-F8B2-4216-9C79-FD9B76A50825}"/>
            </a:ext>
          </a:extLst>
        </xdr:cNvPr>
        <xdr:cNvGrpSpPr>
          <a:grpSpLocks/>
        </xdr:cNvGrpSpPr>
      </xdr:nvGrpSpPr>
      <xdr:grpSpPr bwMode="auto">
        <a:xfrm>
          <a:off x="0" y="0"/>
          <a:ext cx="5264026" cy="1279559"/>
          <a:chOff x="57150" y="47625"/>
          <a:chExt cx="6316603" cy="1200288"/>
        </a:xfrm>
      </xdr:grpSpPr>
      <xdr:pic>
        <xdr:nvPicPr>
          <xdr:cNvPr id="8" name="1 Imagen" descr="ESCUDO-transp-lema-blanco.png">
            <a:extLst>
              <a:ext uri="{FF2B5EF4-FFF2-40B4-BE49-F238E27FC236}">
                <a16:creationId xmlns:a16="http://schemas.microsoft.com/office/drawing/2014/main" id="{3264515A-438A-42C6-922A-F79A2A31D598}"/>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9" name="3 CuadroTexto">
            <a:extLst>
              <a:ext uri="{FF2B5EF4-FFF2-40B4-BE49-F238E27FC236}">
                <a16:creationId xmlns:a16="http://schemas.microsoft.com/office/drawing/2014/main" id="{7DC241E1-0A92-44EF-920A-B5E280A52FF3}"/>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1209675</xdr:colOff>
      <xdr:row>0</xdr:row>
      <xdr:rowOff>1581150</xdr:rowOff>
    </xdr:to>
    <xdr:pic>
      <xdr:nvPicPr>
        <xdr:cNvPr id="2" name="1 Imagen" descr="ESCUDO-transp-lema-blanco.pn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096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1266825</xdr:colOff>
      <xdr:row>0</xdr:row>
      <xdr:rowOff>428625</xdr:rowOff>
    </xdr:from>
    <xdr:to>
      <xdr:col>1</xdr:col>
      <xdr:colOff>3609975</xdr:colOff>
      <xdr:row>1</xdr:row>
      <xdr:rowOff>0</xdr:rowOff>
    </xdr:to>
    <xdr:sp macro="" textlink="">
      <xdr:nvSpPr>
        <xdr:cNvPr id="3" name="3 CuadroTexto">
          <a:extLst>
            <a:ext uri="{FF2B5EF4-FFF2-40B4-BE49-F238E27FC236}">
              <a16:creationId xmlns:a16="http://schemas.microsoft.com/office/drawing/2014/main" id="{00000000-0008-0000-0500-000003000000}"/>
            </a:ext>
          </a:extLst>
        </xdr:cNvPr>
        <xdr:cNvSpPr txBox="1"/>
      </xdr:nvSpPr>
      <xdr:spPr bwMode="auto">
        <a:xfrm>
          <a:off x="1266825" y="428625"/>
          <a:ext cx="4619625"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General de Ordenamiento Ambiental Territorial y Coordinación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3</xdr:col>
      <xdr:colOff>6727</xdr:colOff>
      <xdr:row>77</xdr:row>
      <xdr:rowOff>76200</xdr:rowOff>
    </xdr:from>
    <xdr:to>
      <xdr:col>3</xdr:col>
      <xdr:colOff>6727</xdr:colOff>
      <xdr:row>78</xdr:row>
      <xdr:rowOff>129560</xdr:rowOff>
    </xdr:to>
    <xdr:pic>
      <xdr:nvPicPr>
        <xdr:cNvPr id="2" name="Imagen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8844" y="26221353"/>
          <a:ext cx="0" cy="11322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2917</xdr:colOff>
      <xdr:row>85</xdr:row>
      <xdr:rowOff>0</xdr:rowOff>
    </xdr:from>
    <xdr:to>
      <xdr:col>3</xdr:col>
      <xdr:colOff>2917</xdr:colOff>
      <xdr:row>87</xdr:row>
      <xdr:rowOff>7652</xdr:rowOff>
    </xdr:to>
    <xdr:pic>
      <xdr:nvPicPr>
        <xdr:cNvPr id="3" name="Imagen 2">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5034" y="33823469"/>
          <a:ext cx="0" cy="6782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600-000004000000}"/>
            </a:ext>
          </a:extLst>
        </xdr:cNvPr>
        <xdr:cNvGrpSpPr>
          <a:grpSpLocks/>
        </xdr:cNvGrpSpPr>
      </xdr:nvGrpSpPr>
      <xdr:grpSpPr bwMode="auto">
        <a:xfrm>
          <a:off x="0" y="0"/>
          <a:ext cx="6010475" cy="1279559"/>
          <a:chOff x="57150" y="47625"/>
          <a:chExt cx="6316603" cy="1200288"/>
        </a:xfrm>
      </xdr:grpSpPr>
      <xdr:pic>
        <xdr:nvPicPr>
          <xdr:cNvPr id="5" name="1 Imagen" descr="ESCUDO-transp-lema-blanco.png">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6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7" name="1 Grupo">
          <a:extLst>
            <a:ext uri="{FF2B5EF4-FFF2-40B4-BE49-F238E27FC236}">
              <a16:creationId xmlns:a16="http://schemas.microsoft.com/office/drawing/2014/main" id="{6FFB4084-EA02-4A55-A38B-15719FBC7752}"/>
            </a:ext>
          </a:extLst>
        </xdr:cNvPr>
        <xdr:cNvGrpSpPr>
          <a:grpSpLocks/>
        </xdr:cNvGrpSpPr>
      </xdr:nvGrpSpPr>
      <xdr:grpSpPr bwMode="auto">
        <a:xfrm>
          <a:off x="0" y="0"/>
          <a:ext cx="6010475" cy="1279559"/>
          <a:chOff x="57150" y="47625"/>
          <a:chExt cx="6316603" cy="1200288"/>
        </a:xfrm>
      </xdr:grpSpPr>
      <xdr:pic>
        <xdr:nvPicPr>
          <xdr:cNvPr id="8" name="1 Imagen" descr="ESCUDO-transp-lema-blanco.png">
            <a:extLst>
              <a:ext uri="{FF2B5EF4-FFF2-40B4-BE49-F238E27FC236}">
                <a16:creationId xmlns:a16="http://schemas.microsoft.com/office/drawing/2014/main" id="{C705610C-7D53-4883-B719-BC32C8BEEF1E}"/>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9" name="3 CuadroTexto">
            <a:extLst>
              <a:ext uri="{FF2B5EF4-FFF2-40B4-BE49-F238E27FC236}">
                <a16:creationId xmlns:a16="http://schemas.microsoft.com/office/drawing/2014/main" id="{17AAC446-3D23-4293-A508-B45FF2335B58}"/>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3</xdr:col>
      <xdr:colOff>1011</xdr:colOff>
      <xdr:row>75</xdr:row>
      <xdr:rowOff>53340</xdr:rowOff>
    </xdr:from>
    <xdr:to>
      <xdr:col>3</xdr:col>
      <xdr:colOff>6876</xdr:colOff>
      <xdr:row>76</xdr:row>
      <xdr:rowOff>175286</xdr:rowOff>
    </xdr:to>
    <xdr:pic>
      <xdr:nvPicPr>
        <xdr:cNvPr id="2" name="Imagen 1">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3128" y="22116350"/>
          <a:ext cx="5865" cy="10355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4822</xdr:colOff>
      <xdr:row>84</xdr:row>
      <xdr:rowOff>0</xdr:rowOff>
    </xdr:from>
    <xdr:to>
      <xdr:col>3</xdr:col>
      <xdr:colOff>6822</xdr:colOff>
      <xdr:row>86</xdr:row>
      <xdr:rowOff>7652</xdr:rowOff>
    </xdr:to>
    <xdr:pic>
      <xdr:nvPicPr>
        <xdr:cNvPr id="3" name="Imagen 2">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6939" y="30791020"/>
          <a:ext cx="2000" cy="833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700-000004000000}"/>
            </a:ext>
          </a:extLst>
        </xdr:cNvPr>
        <xdr:cNvGrpSpPr>
          <a:grpSpLocks/>
        </xdr:cNvGrpSpPr>
      </xdr:nvGrpSpPr>
      <xdr:grpSpPr bwMode="auto">
        <a:xfrm>
          <a:off x="0" y="0"/>
          <a:ext cx="6204862" cy="1279559"/>
          <a:chOff x="57150" y="47625"/>
          <a:chExt cx="6316603" cy="1200288"/>
        </a:xfrm>
      </xdr:grpSpPr>
      <xdr:pic>
        <xdr:nvPicPr>
          <xdr:cNvPr id="5" name="1 Imagen" descr="ESCUDO-transp-lema-blanco.png">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7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7" name="1 Grupo">
          <a:extLst>
            <a:ext uri="{FF2B5EF4-FFF2-40B4-BE49-F238E27FC236}">
              <a16:creationId xmlns:a16="http://schemas.microsoft.com/office/drawing/2014/main" id="{7CE30897-C706-49C7-B5FB-D5EEAF16B408}"/>
            </a:ext>
          </a:extLst>
        </xdr:cNvPr>
        <xdr:cNvGrpSpPr>
          <a:grpSpLocks/>
        </xdr:cNvGrpSpPr>
      </xdr:nvGrpSpPr>
      <xdr:grpSpPr bwMode="auto">
        <a:xfrm>
          <a:off x="0" y="0"/>
          <a:ext cx="6204862" cy="1279559"/>
          <a:chOff x="57150" y="47625"/>
          <a:chExt cx="6316603" cy="1200288"/>
        </a:xfrm>
      </xdr:grpSpPr>
      <xdr:pic>
        <xdr:nvPicPr>
          <xdr:cNvPr id="8" name="1 Imagen" descr="ESCUDO-transp-lema-blanco.png">
            <a:extLst>
              <a:ext uri="{FF2B5EF4-FFF2-40B4-BE49-F238E27FC236}">
                <a16:creationId xmlns:a16="http://schemas.microsoft.com/office/drawing/2014/main" id="{5E634731-9101-45F1-A426-68A089085315}"/>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9" name="3 CuadroTexto">
            <a:extLst>
              <a:ext uri="{FF2B5EF4-FFF2-40B4-BE49-F238E27FC236}">
                <a16:creationId xmlns:a16="http://schemas.microsoft.com/office/drawing/2014/main" id="{A5BF998A-B0F6-4317-B24E-67BB45CF8036}"/>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3</xdr:col>
      <xdr:colOff>6727</xdr:colOff>
      <xdr:row>85</xdr:row>
      <xdr:rowOff>5404</xdr:rowOff>
    </xdr:from>
    <xdr:to>
      <xdr:col>3</xdr:col>
      <xdr:colOff>6727</xdr:colOff>
      <xdr:row>87</xdr:row>
      <xdr:rowOff>32</xdr:rowOff>
    </xdr:to>
    <xdr:pic>
      <xdr:nvPicPr>
        <xdr:cNvPr id="2" name="Imagen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8844" y="30077190"/>
          <a:ext cx="0" cy="752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1800-000003000000}"/>
            </a:ext>
          </a:extLst>
        </xdr:cNvPr>
        <xdr:cNvGrpSpPr>
          <a:grpSpLocks/>
        </xdr:cNvGrpSpPr>
      </xdr:nvGrpSpPr>
      <xdr:grpSpPr bwMode="auto">
        <a:xfrm>
          <a:off x="0" y="0"/>
          <a:ext cx="6103781" cy="1279559"/>
          <a:chOff x="57150" y="47625"/>
          <a:chExt cx="6316603" cy="1200288"/>
        </a:xfrm>
      </xdr:grpSpPr>
      <xdr:pic>
        <xdr:nvPicPr>
          <xdr:cNvPr id="4" name="1 Imagen" descr="ESCUDO-transp-lema-blanco.png">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18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6" name="1 Grupo">
          <a:extLst>
            <a:ext uri="{FF2B5EF4-FFF2-40B4-BE49-F238E27FC236}">
              <a16:creationId xmlns:a16="http://schemas.microsoft.com/office/drawing/2014/main" id="{B4D9AC44-6410-4656-8728-FA432F2A026B}"/>
            </a:ext>
          </a:extLst>
        </xdr:cNvPr>
        <xdr:cNvGrpSpPr>
          <a:grpSpLocks/>
        </xdr:cNvGrpSpPr>
      </xdr:nvGrpSpPr>
      <xdr:grpSpPr bwMode="auto">
        <a:xfrm>
          <a:off x="0" y="0"/>
          <a:ext cx="6103781" cy="1279559"/>
          <a:chOff x="57150" y="47625"/>
          <a:chExt cx="6316603" cy="1200288"/>
        </a:xfrm>
      </xdr:grpSpPr>
      <xdr:pic>
        <xdr:nvPicPr>
          <xdr:cNvPr id="7" name="1 Imagen" descr="ESCUDO-transp-lema-blanco.png">
            <a:extLst>
              <a:ext uri="{FF2B5EF4-FFF2-40B4-BE49-F238E27FC236}">
                <a16:creationId xmlns:a16="http://schemas.microsoft.com/office/drawing/2014/main" id="{3A5A1F5F-0FE8-48E1-90AB-7BBAD2445166}"/>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8" name="3 CuadroTexto">
            <a:extLst>
              <a:ext uri="{FF2B5EF4-FFF2-40B4-BE49-F238E27FC236}">
                <a16:creationId xmlns:a16="http://schemas.microsoft.com/office/drawing/2014/main" id="{3DEC6959-445E-4925-BA9D-81A8791042FB}"/>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2</xdr:col>
      <xdr:colOff>556261</xdr:colOff>
      <xdr:row>63</xdr:row>
      <xdr:rowOff>0</xdr:rowOff>
    </xdr:from>
    <xdr:to>
      <xdr:col>2</xdr:col>
      <xdr:colOff>2088014</xdr:colOff>
      <xdr:row>64</xdr:row>
      <xdr:rowOff>83843</xdr:rowOff>
    </xdr:to>
    <xdr:pic>
      <xdr:nvPicPr>
        <xdr:cNvPr id="2" name="Imagen 1">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67841" y="22913340"/>
          <a:ext cx="1531753" cy="266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1900-000003000000}"/>
            </a:ext>
          </a:extLst>
        </xdr:cNvPr>
        <xdr:cNvGrpSpPr>
          <a:grpSpLocks/>
        </xdr:cNvGrpSpPr>
      </xdr:nvGrpSpPr>
      <xdr:grpSpPr bwMode="auto">
        <a:xfrm>
          <a:off x="0" y="0"/>
          <a:ext cx="6360373" cy="1279559"/>
          <a:chOff x="57150" y="47625"/>
          <a:chExt cx="6316603" cy="1200288"/>
        </a:xfrm>
      </xdr:grpSpPr>
      <xdr:pic>
        <xdr:nvPicPr>
          <xdr:cNvPr id="4" name="1 Imagen" descr="ESCUDO-transp-lema-blanco.png">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19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6" name="1 Grupo">
          <a:extLst>
            <a:ext uri="{FF2B5EF4-FFF2-40B4-BE49-F238E27FC236}">
              <a16:creationId xmlns:a16="http://schemas.microsoft.com/office/drawing/2014/main" id="{41BE943F-C570-4298-A3DE-8098B72F4311}"/>
            </a:ext>
          </a:extLst>
        </xdr:cNvPr>
        <xdr:cNvGrpSpPr>
          <a:grpSpLocks/>
        </xdr:cNvGrpSpPr>
      </xdr:nvGrpSpPr>
      <xdr:grpSpPr bwMode="auto">
        <a:xfrm>
          <a:off x="0" y="0"/>
          <a:ext cx="6360373" cy="1279559"/>
          <a:chOff x="57150" y="47625"/>
          <a:chExt cx="6316603" cy="1200288"/>
        </a:xfrm>
      </xdr:grpSpPr>
      <xdr:pic>
        <xdr:nvPicPr>
          <xdr:cNvPr id="7" name="1 Imagen" descr="ESCUDO-transp-lema-blanco.png">
            <a:extLst>
              <a:ext uri="{FF2B5EF4-FFF2-40B4-BE49-F238E27FC236}">
                <a16:creationId xmlns:a16="http://schemas.microsoft.com/office/drawing/2014/main" id="{DB63580F-3891-4405-9D6A-06BB67036E78}"/>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8" name="3 CuadroTexto">
            <a:extLst>
              <a:ext uri="{FF2B5EF4-FFF2-40B4-BE49-F238E27FC236}">
                <a16:creationId xmlns:a16="http://schemas.microsoft.com/office/drawing/2014/main" id="{3AF1B827-0A97-410F-AEEB-60B216C01149}"/>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2</xdr:col>
      <xdr:colOff>868681</xdr:colOff>
      <xdr:row>104</xdr:row>
      <xdr:rowOff>15240</xdr:rowOff>
    </xdr:from>
    <xdr:to>
      <xdr:col>2</xdr:col>
      <xdr:colOff>1806022</xdr:colOff>
      <xdr:row>105</xdr:row>
      <xdr:rowOff>129566</xdr:rowOff>
    </xdr:to>
    <xdr:pic>
      <xdr:nvPicPr>
        <xdr:cNvPr id="2" name="Imagen 1">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080261" y="39319200"/>
          <a:ext cx="937341" cy="297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480060</xdr:colOff>
      <xdr:row>111</xdr:row>
      <xdr:rowOff>68580</xdr:rowOff>
    </xdr:from>
    <xdr:to>
      <xdr:col>3</xdr:col>
      <xdr:colOff>1021334</xdr:colOff>
      <xdr:row>113</xdr:row>
      <xdr:rowOff>26</xdr:rowOff>
    </xdr:to>
    <xdr:pic>
      <xdr:nvPicPr>
        <xdr:cNvPr id="3" name="Imagen 2">
          <a:extLst>
            <a:ext uri="{FF2B5EF4-FFF2-40B4-BE49-F238E27FC236}">
              <a16:creationId xmlns:a16="http://schemas.microsoft.com/office/drawing/2014/main" id="{00000000-0008-0000-1A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91640" y="41689020"/>
          <a:ext cx="2933954" cy="297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A00-000004000000}"/>
            </a:ext>
          </a:extLst>
        </xdr:cNvPr>
        <xdr:cNvGrpSpPr>
          <a:grpSpLocks/>
        </xdr:cNvGrpSpPr>
      </xdr:nvGrpSpPr>
      <xdr:grpSpPr bwMode="auto">
        <a:xfrm>
          <a:off x="0" y="0"/>
          <a:ext cx="7145699" cy="1279559"/>
          <a:chOff x="57150" y="47625"/>
          <a:chExt cx="6316603" cy="1200288"/>
        </a:xfrm>
      </xdr:grpSpPr>
      <xdr:pic>
        <xdr:nvPicPr>
          <xdr:cNvPr id="5" name="1 Imagen" descr="ESCUDO-transp-lema-blanco.png">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A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7" name="1 Grupo">
          <a:extLst>
            <a:ext uri="{FF2B5EF4-FFF2-40B4-BE49-F238E27FC236}">
              <a16:creationId xmlns:a16="http://schemas.microsoft.com/office/drawing/2014/main" id="{F74C229E-795B-4668-ACE0-854C6E627EB8}"/>
            </a:ext>
          </a:extLst>
        </xdr:cNvPr>
        <xdr:cNvGrpSpPr>
          <a:grpSpLocks/>
        </xdr:cNvGrpSpPr>
      </xdr:nvGrpSpPr>
      <xdr:grpSpPr bwMode="auto">
        <a:xfrm>
          <a:off x="0" y="0"/>
          <a:ext cx="7145699" cy="1279559"/>
          <a:chOff x="57150" y="47625"/>
          <a:chExt cx="6316603" cy="1200288"/>
        </a:xfrm>
      </xdr:grpSpPr>
      <xdr:pic>
        <xdr:nvPicPr>
          <xdr:cNvPr id="8" name="1 Imagen" descr="ESCUDO-transp-lema-blanco.png">
            <a:extLst>
              <a:ext uri="{FF2B5EF4-FFF2-40B4-BE49-F238E27FC236}">
                <a16:creationId xmlns:a16="http://schemas.microsoft.com/office/drawing/2014/main" id="{140F34F6-FA12-426C-912D-10FB7A345FD4}"/>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9" name="3 CuadroTexto">
            <a:extLst>
              <a:ext uri="{FF2B5EF4-FFF2-40B4-BE49-F238E27FC236}">
                <a16:creationId xmlns:a16="http://schemas.microsoft.com/office/drawing/2014/main" id="{10BEE9EE-D5C9-40FF-9B0F-FB9768BE9B65}"/>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2</xdr:col>
      <xdr:colOff>182880</xdr:colOff>
      <xdr:row>129</xdr:row>
      <xdr:rowOff>144780</xdr:rowOff>
    </xdr:from>
    <xdr:to>
      <xdr:col>3</xdr:col>
      <xdr:colOff>1112808</xdr:colOff>
      <xdr:row>129</xdr:row>
      <xdr:rowOff>281952</xdr:rowOff>
    </xdr:to>
    <xdr:pic>
      <xdr:nvPicPr>
        <xdr:cNvPr id="2" name="Imagen 1">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59803" y="59578338"/>
          <a:ext cx="1259640" cy="1371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5568</xdr:colOff>
      <xdr:row>142</xdr:row>
      <xdr:rowOff>7620</xdr:rowOff>
    </xdr:from>
    <xdr:to>
      <xdr:col>3</xdr:col>
      <xdr:colOff>1089896</xdr:colOff>
      <xdr:row>142</xdr:row>
      <xdr:rowOff>194331</xdr:rowOff>
    </xdr:to>
    <xdr:pic>
      <xdr:nvPicPr>
        <xdr:cNvPr id="3" name="Imagen 2">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2203" y="64460120"/>
          <a:ext cx="1084328" cy="186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B00-000004000000}"/>
            </a:ext>
          </a:extLst>
        </xdr:cNvPr>
        <xdr:cNvGrpSpPr>
          <a:grpSpLocks/>
        </xdr:cNvGrpSpPr>
      </xdr:nvGrpSpPr>
      <xdr:grpSpPr bwMode="auto">
        <a:xfrm>
          <a:off x="0" y="0"/>
          <a:ext cx="7424023" cy="1274375"/>
          <a:chOff x="57150" y="47625"/>
          <a:chExt cx="6316603" cy="1200288"/>
        </a:xfrm>
      </xdr:grpSpPr>
      <xdr:pic>
        <xdr:nvPicPr>
          <xdr:cNvPr id="5" name="1 Imagen" descr="ESCUDO-transp-lema-blanco.png">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B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2</xdr:col>
      <xdr:colOff>182880</xdr:colOff>
      <xdr:row>111</xdr:row>
      <xdr:rowOff>91440</xdr:rowOff>
    </xdr:from>
    <xdr:to>
      <xdr:col>3</xdr:col>
      <xdr:colOff>998498</xdr:colOff>
      <xdr:row>111</xdr:row>
      <xdr:rowOff>228612</xdr:rowOff>
    </xdr:to>
    <xdr:pic>
      <xdr:nvPicPr>
        <xdr:cNvPr id="2" name="Imagen 1">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72540" y="40934640"/>
          <a:ext cx="3208298" cy="1371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464821</xdr:colOff>
      <xdr:row>124</xdr:row>
      <xdr:rowOff>0</xdr:rowOff>
    </xdr:from>
    <xdr:to>
      <xdr:col>3</xdr:col>
      <xdr:colOff>922268</xdr:colOff>
      <xdr:row>125</xdr:row>
      <xdr:rowOff>114326</xdr:rowOff>
    </xdr:to>
    <xdr:pic>
      <xdr:nvPicPr>
        <xdr:cNvPr id="3" name="Imagen 2">
          <a:extLst>
            <a:ext uri="{FF2B5EF4-FFF2-40B4-BE49-F238E27FC236}">
              <a16:creationId xmlns:a16="http://schemas.microsoft.com/office/drawing/2014/main" id="{00000000-0008-0000-1C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54481" y="45674280"/>
          <a:ext cx="2850127" cy="297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C00-000004000000}"/>
            </a:ext>
          </a:extLst>
        </xdr:cNvPr>
        <xdr:cNvGrpSpPr>
          <a:grpSpLocks/>
        </xdr:cNvGrpSpPr>
      </xdr:nvGrpSpPr>
      <xdr:grpSpPr bwMode="auto">
        <a:xfrm>
          <a:off x="0" y="0"/>
          <a:ext cx="6173760" cy="1279559"/>
          <a:chOff x="57150" y="47625"/>
          <a:chExt cx="6316603" cy="1200288"/>
        </a:xfrm>
      </xdr:grpSpPr>
      <xdr:pic>
        <xdr:nvPicPr>
          <xdr:cNvPr id="5" name="1 Imagen" descr="ESCUDO-transp-lema-blanco.png">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C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7" name="1 Grupo">
          <a:extLst>
            <a:ext uri="{FF2B5EF4-FFF2-40B4-BE49-F238E27FC236}">
              <a16:creationId xmlns:a16="http://schemas.microsoft.com/office/drawing/2014/main" id="{A350B44C-BD08-4F48-A1B5-A4F4CFA0E2A1}"/>
            </a:ext>
          </a:extLst>
        </xdr:cNvPr>
        <xdr:cNvGrpSpPr>
          <a:grpSpLocks/>
        </xdr:cNvGrpSpPr>
      </xdr:nvGrpSpPr>
      <xdr:grpSpPr bwMode="auto">
        <a:xfrm>
          <a:off x="0" y="0"/>
          <a:ext cx="6173760" cy="1279559"/>
          <a:chOff x="57150" y="47625"/>
          <a:chExt cx="6316603" cy="1200288"/>
        </a:xfrm>
      </xdr:grpSpPr>
      <xdr:pic>
        <xdr:nvPicPr>
          <xdr:cNvPr id="8" name="1 Imagen" descr="ESCUDO-transp-lema-blanco.png">
            <a:extLst>
              <a:ext uri="{FF2B5EF4-FFF2-40B4-BE49-F238E27FC236}">
                <a16:creationId xmlns:a16="http://schemas.microsoft.com/office/drawing/2014/main" id="{28083193-173A-4D36-A695-33F69E0F4306}"/>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9" name="3 CuadroTexto">
            <a:extLst>
              <a:ext uri="{FF2B5EF4-FFF2-40B4-BE49-F238E27FC236}">
                <a16:creationId xmlns:a16="http://schemas.microsoft.com/office/drawing/2014/main" id="{44D37F0C-A342-4E0A-AC7B-C24FB0604EE4}"/>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2</xdr:col>
      <xdr:colOff>784860</xdr:colOff>
      <xdr:row>107</xdr:row>
      <xdr:rowOff>53340</xdr:rowOff>
    </xdr:from>
    <xdr:to>
      <xdr:col>2</xdr:col>
      <xdr:colOff>1402080</xdr:colOff>
      <xdr:row>108</xdr:row>
      <xdr:rowOff>144780</xdr:rowOff>
    </xdr:to>
    <xdr:pic>
      <xdr:nvPicPr>
        <xdr:cNvPr id="2" name="Imagen 1">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996440" y="36568380"/>
          <a:ext cx="617220" cy="274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1D00-000003000000}"/>
            </a:ext>
          </a:extLst>
        </xdr:cNvPr>
        <xdr:cNvGrpSpPr>
          <a:grpSpLocks/>
        </xdr:cNvGrpSpPr>
      </xdr:nvGrpSpPr>
      <xdr:grpSpPr bwMode="auto">
        <a:xfrm>
          <a:off x="0" y="0"/>
          <a:ext cx="6445903" cy="1279559"/>
          <a:chOff x="57150" y="47625"/>
          <a:chExt cx="6316603" cy="1200288"/>
        </a:xfrm>
      </xdr:grpSpPr>
      <xdr:pic>
        <xdr:nvPicPr>
          <xdr:cNvPr id="4" name="1 Imagen" descr="ESCUDO-transp-lema-blanco.png">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1D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6" name="1 Grupo">
          <a:extLst>
            <a:ext uri="{FF2B5EF4-FFF2-40B4-BE49-F238E27FC236}">
              <a16:creationId xmlns:a16="http://schemas.microsoft.com/office/drawing/2014/main" id="{E97473DA-3E72-489A-8ED1-1C816E23E37E}"/>
            </a:ext>
          </a:extLst>
        </xdr:cNvPr>
        <xdr:cNvGrpSpPr>
          <a:grpSpLocks/>
        </xdr:cNvGrpSpPr>
      </xdr:nvGrpSpPr>
      <xdr:grpSpPr bwMode="auto">
        <a:xfrm>
          <a:off x="0" y="0"/>
          <a:ext cx="6445903" cy="1279559"/>
          <a:chOff x="57150" y="47625"/>
          <a:chExt cx="6316603" cy="1200288"/>
        </a:xfrm>
      </xdr:grpSpPr>
      <xdr:pic>
        <xdr:nvPicPr>
          <xdr:cNvPr id="7" name="1 Imagen" descr="ESCUDO-transp-lema-blanco.png">
            <a:extLst>
              <a:ext uri="{FF2B5EF4-FFF2-40B4-BE49-F238E27FC236}">
                <a16:creationId xmlns:a16="http://schemas.microsoft.com/office/drawing/2014/main" id="{BAB399C5-4777-42C7-85BE-38F33FAA44F4}"/>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8" name="3 CuadroTexto">
            <a:extLst>
              <a:ext uri="{FF2B5EF4-FFF2-40B4-BE49-F238E27FC236}">
                <a16:creationId xmlns:a16="http://schemas.microsoft.com/office/drawing/2014/main" id="{40FB57AE-F724-45D4-9D01-50F03541A2FE}"/>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9" name="1 Grupo">
          <a:extLst>
            <a:ext uri="{FF2B5EF4-FFF2-40B4-BE49-F238E27FC236}">
              <a16:creationId xmlns:a16="http://schemas.microsoft.com/office/drawing/2014/main" id="{45ECF688-E058-4F75-80FC-14BCC9002305}"/>
            </a:ext>
          </a:extLst>
        </xdr:cNvPr>
        <xdr:cNvGrpSpPr>
          <a:grpSpLocks/>
        </xdr:cNvGrpSpPr>
      </xdr:nvGrpSpPr>
      <xdr:grpSpPr bwMode="auto">
        <a:xfrm>
          <a:off x="0" y="0"/>
          <a:ext cx="6445903" cy="1279559"/>
          <a:chOff x="57150" y="47625"/>
          <a:chExt cx="6316603" cy="1200288"/>
        </a:xfrm>
      </xdr:grpSpPr>
      <xdr:pic>
        <xdr:nvPicPr>
          <xdr:cNvPr id="10" name="1 Imagen" descr="ESCUDO-transp-lema-blanco.png">
            <a:extLst>
              <a:ext uri="{FF2B5EF4-FFF2-40B4-BE49-F238E27FC236}">
                <a16:creationId xmlns:a16="http://schemas.microsoft.com/office/drawing/2014/main" id="{87023D2E-8A19-4B95-B372-73D0EB311A0B}"/>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1" name="3 CuadroTexto">
            <a:extLst>
              <a:ext uri="{FF2B5EF4-FFF2-40B4-BE49-F238E27FC236}">
                <a16:creationId xmlns:a16="http://schemas.microsoft.com/office/drawing/2014/main" id="{8D7F7DD0-D52C-4335-AF42-2C56136E8098}"/>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2</xdr:col>
      <xdr:colOff>784860</xdr:colOff>
      <xdr:row>107</xdr:row>
      <xdr:rowOff>53340</xdr:rowOff>
    </xdr:from>
    <xdr:to>
      <xdr:col>2</xdr:col>
      <xdr:colOff>1402080</xdr:colOff>
      <xdr:row>108</xdr:row>
      <xdr:rowOff>144780</xdr:rowOff>
    </xdr:to>
    <xdr:pic>
      <xdr:nvPicPr>
        <xdr:cNvPr id="12" name="Imagen 11">
          <a:extLst>
            <a:ext uri="{FF2B5EF4-FFF2-40B4-BE49-F238E27FC236}">
              <a16:creationId xmlns:a16="http://schemas.microsoft.com/office/drawing/2014/main" id="{F11CFD56-91EF-410A-B666-3D91A9CF533B}"/>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8260" y="38591490"/>
          <a:ext cx="0" cy="2072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13" name="1 Grupo">
          <a:extLst>
            <a:ext uri="{FF2B5EF4-FFF2-40B4-BE49-F238E27FC236}">
              <a16:creationId xmlns:a16="http://schemas.microsoft.com/office/drawing/2014/main" id="{E9EE7356-17E8-4D45-A3F4-A156AC3FB025}"/>
            </a:ext>
          </a:extLst>
        </xdr:cNvPr>
        <xdr:cNvGrpSpPr>
          <a:grpSpLocks/>
        </xdr:cNvGrpSpPr>
      </xdr:nvGrpSpPr>
      <xdr:grpSpPr bwMode="auto">
        <a:xfrm>
          <a:off x="0" y="0"/>
          <a:ext cx="6445903" cy="1279559"/>
          <a:chOff x="57150" y="47625"/>
          <a:chExt cx="6316603" cy="1200288"/>
        </a:xfrm>
      </xdr:grpSpPr>
      <xdr:pic>
        <xdr:nvPicPr>
          <xdr:cNvPr id="14" name="1 Imagen" descr="ESCUDO-transp-lema-blanco.png">
            <a:extLst>
              <a:ext uri="{FF2B5EF4-FFF2-40B4-BE49-F238E27FC236}">
                <a16:creationId xmlns:a16="http://schemas.microsoft.com/office/drawing/2014/main" id="{3FDBE14B-7F85-4595-A924-B52DAB98DF2E}"/>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5" name="3 CuadroTexto">
            <a:extLst>
              <a:ext uri="{FF2B5EF4-FFF2-40B4-BE49-F238E27FC236}">
                <a16:creationId xmlns:a16="http://schemas.microsoft.com/office/drawing/2014/main" id="{36F7A8E8-A812-438A-9E7A-7995A3A7264A}"/>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6" name="1 Grupo">
          <a:extLst>
            <a:ext uri="{FF2B5EF4-FFF2-40B4-BE49-F238E27FC236}">
              <a16:creationId xmlns:a16="http://schemas.microsoft.com/office/drawing/2014/main" id="{E9B3BDA7-599D-4319-AA7B-72D42142C3C5}"/>
            </a:ext>
          </a:extLst>
        </xdr:cNvPr>
        <xdr:cNvGrpSpPr>
          <a:grpSpLocks/>
        </xdr:cNvGrpSpPr>
      </xdr:nvGrpSpPr>
      <xdr:grpSpPr bwMode="auto">
        <a:xfrm>
          <a:off x="0" y="0"/>
          <a:ext cx="6445903" cy="1279559"/>
          <a:chOff x="57150" y="47625"/>
          <a:chExt cx="6316603" cy="1200288"/>
        </a:xfrm>
      </xdr:grpSpPr>
      <xdr:pic>
        <xdr:nvPicPr>
          <xdr:cNvPr id="17" name="1 Imagen" descr="ESCUDO-transp-lema-blanco.png">
            <a:extLst>
              <a:ext uri="{FF2B5EF4-FFF2-40B4-BE49-F238E27FC236}">
                <a16:creationId xmlns:a16="http://schemas.microsoft.com/office/drawing/2014/main" id="{F92ACFA5-DFEB-4181-977C-F5063EF28C88}"/>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8" name="3 CuadroTexto">
            <a:extLst>
              <a:ext uri="{FF2B5EF4-FFF2-40B4-BE49-F238E27FC236}">
                <a16:creationId xmlns:a16="http://schemas.microsoft.com/office/drawing/2014/main" id="{838E3F8E-2D5C-4004-B904-344D43031F5B}"/>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9" name="1 Grupo">
          <a:extLst>
            <a:ext uri="{FF2B5EF4-FFF2-40B4-BE49-F238E27FC236}">
              <a16:creationId xmlns:a16="http://schemas.microsoft.com/office/drawing/2014/main" id="{3F36F0D9-4522-4A2C-B0C5-8B72C0DD338C}"/>
            </a:ext>
          </a:extLst>
        </xdr:cNvPr>
        <xdr:cNvGrpSpPr>
          <a:grpSpLocks/>
        </xdr:cNvGrpSpPr>
      </xdr:nvGrpSpPr>
      <xdr:grpSpPr bwMode="auto">
        <a:xfrm>
          <a:off x="0" y="0"/>
          <a:ext cx="6445903" cy="1279559"/>
          <a:chOff x="57150" y="47625"/>
          <a:chExt cx="6316603" cy="1200288"/>
        </a:xfrm>
      </xdr:grpSpPr>
      <xdr:pic>
        <xdr:nvPicPr>
          <xdr:cNvPr id="20" name="1 Imagen" descr="ESCUDO-transp-lema-blanco.png">
            <a:extLst>
              <a:ext uri="{FF2B5EF4-FFF2-40B4-BE49-F238E27FC236}">
                <a16:creationId xmlns:a16="http://schemas.microsoft.com/office/drawing/2014/main" id="{4F37354D-FC89-4CCB-A1A0-914D411AD47C}"/>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21" name="3 CuadroTexto">
            <a:extLst>
              <a:ext uri="{FF2B5EF4-FFF2-40B4-BE49-F238E27FC236}">
                <a16:creationId xmlns:a16="http://schemas.microsoft.com/office/drawing/2014/main" id="{9692E5AA-2660-439D-AC98-69A7A4F52E8A}"/>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2</xdr:col>
      <xdr:colOff>784860</xdr:colOff>
      <xdr:row>107</xdr:row>
      <xdr:rowOff>53340</xdr:rowOff>
    </xdr:from>
    <xdr:to>
      <xdr:col>2</xdr:col>
      <xdr:colOff>1402080</xdr:colOff>
      <xdr:row>108</xdr:row>
      <xdr:rowOff>144780</xdr:rowOff>
    </xdr:to>
    <xdr:pic>
      <xdr:nvPicPr>
        <xdr:cNvPr id="22" name="Imagen 21">
          <a:extLst>
            <a:ext uri="{FF2B5EF4-FFF2-40B4-BE49-F238E27FC236}">
              <a16:creationId xmlns:a16="http://schemas.microsoft.com/office/drawing/2014/main" id="{042960E4-FA28-47E5-83D7-2559A089B964}"/>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56360" y="35311080"/>
          <a:ext cx="0" cy="1615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23" name="1 Grupo">
          <a:extLst>
            <a:ext uri="{FF2B5EF4-FFF2-40B4-BE49-F238E27FC236}">
              <a16:creationId xmlns:a16="http://schemas.microsoft.com/office/drawing/2014/main" id="{0BEB7754-ED7B-42E0-A014-E52184438EFB}"/>
            </a:ext>
          </a:extLst>
        </xdr:cNvPr>
        <xdr:cNvGrpSpPr>
          <a:grpSpLocks/>
        </xdr:cNvGrpSpPr>
      </xdr:nvGrpSpPr>
      <xdr:grpSpPr bwMode="auto">
        <a:xfrm>
          <a:off x="0" y="0"/>
          <a:ext cx="6445903" cy="1279559"/>
          <a:chOff x="57150" y="47625"/>
          <a:chExt cx="6316603" cy="1200288"/>
        </a:xfrm>
      </xdr:grpSpPr>
      <xdr:pic>
        <xdr:nvPicPr>
          <xdr:cNvPr id="24" name="1 Imagen" descr="ESCUDO-transp-lema-blanco.png">
            <a:extLst>
              <a:ext uri="{FF2B5EF4-FFF2-40B4-BE49-F238E27FC236}">
                <a16:creationId xmlns:a16="http://schemas.microsoft.com/office/drawing/2014/main" id="{53426267-3A21-6971-B289-4F318BBDA57B}"/>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25" name="3 CuadroTexto">
            <a:extLst>
              <a:ext uri="{FF2B5EF4-FFF2-40B4-BE49-F238E27FC236}">
                <a16:creationId xmlns:a16="http://schemas.microsoft.com/office/drawing/2014/main" id="{EE1887EF-9F19-203C-1801-EB693CD15876}"/>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26" name="1 Grupo">
          <a:extLst>
            <a:ext uri="{FF2B5EF4-FFF2-40B4-BE49-F238E27FC236}">
              <a16:creationId xmlns:a16="http://schemas.microsoft.com/office/drawing/2014/main" id="{1926E82A-C39C-4635-81AF-CB741FF44E88}"/>
            </a:ext>
          </a:extLst>
        </xdr:cNvPr>
        <xdr:cNvGrpSpPr>
          <a:grpSpLocks/>
        </xdr:cNvGrpSpPr>
      </xdr:nvGrpSpPr>
      <xdr:grpSpPr bwMode="auto">
        <a:xfrm>
          <a:off x="0" y="0"/>
          <a:ext cx="6445903" cy="1279559"/>
          <a:chOff x="57150" y="47625"/>
          <a:chExt cx="6316603" cy="1200288"/>
        </a:xfrm>
      </xdr:grpSpPr>
      <xdr:pic>
        <xdr:nvPicPr>
          <xdr:cNvPr id="27" name="1 Imagen" descr="ESCUDO-transp-lema-blanco.png">
            <a:extLst>
              <a:ext uri="{FF2B5EF4-FFF2-40B4-BE49-F238E27FC236}">
                <a16:creationId xmlns:a16="http://schemas.microsoft.com/office/drawing/2014/main" id="{C3F0AE9C-1946-81BC-8748-93128E9DECD5}"/>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28" name="3 CuadroTexto">
            <a:extLst>
              <a:ext uri="{FF2B5EF4-FFF2-40B4-BE49-F238E27FC236}">
                <a16:creationId xmlns:a16="http://schemas.microsoft.com/office/drawing/2014/main" id="{2C52A423-9516-F610-8C63-C11D3F216C9E}"/>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29" name="1 Grupo">
          <a:extLst>
            <a:ext uri="{FF2B5EF4-FFF2-40B4-BE49-F238E27FC236}">
              <a16:creationId xmlns:a16="http://schemas.microsoft.com/office/drawing/2014/main" id="{8B101FB1-D6E2-406F-BC03-6CEAD863BEBE}"/>
            </a:ext>
          </a:extLst>
        </xdr:cNvPr>
        <xdr:cNvGrpSpPr>
          <a:grpSpLocks/>
        </xdr:cNvGrpSpPr>
      </xdr:nvGrpSpPr>
      <xdr:grpSpPr bwMode="auto">
        <a:xfrm>
          <a:off x="0" y="0"/>
          <a:ext cx="6445903" cy="1279559"/>
          <a:chOff x="57150" y="47625"/>
          <a:chExt cx="6316603" cy="1200288"/>
        </a:xfrm>
      </xdr:grpSpPr>
      <xdr:pic>
        <xdr:nvPicPr>
          <xdr:cNvPr id="30" name="1 Imagen" descr="ESCUDO-transp-lema-blanco.png">
            <a:extLst>
              <a:ext uri="{FF2B5EF4-FFF2-40B4-BE49-F238E27FC236}">
                <a16:creationId xmlns:a16="http://schemas.microsoft.com/office/drawing/2014/main" id="{6AA6BC33-BBB2-2F1E-1CF0-39CD58B1420A}"/>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31" name="3 CuadroTexto">
            <a:extLst>
              <a:ext uri="{FF2B5EF4-FFF2-40B4-BE49-F238E27FC236}">
                <a16:creationId xmlns:a16="http://schemas.microsoft.com/office/drawing/2014/main" id="{29C1A699-E1D6-6B71-22FF-34896EAEFF3A}"/>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2</xdr:col>
      <xdr:colOff>784860</xdr:colOff>
      <xdr:row>107</xdr:row>
      <xdr:rowOff>53340</xdr:rowOff>
    </xdr:from>
    <xdr:to>
      <xdr:col>2</xdr:col>
      <xdr:colOff>1402080</xdr:colOff>
      <xdr:row>108</xdr:row>
      <xdr:rowOff>144780</xdr:rowOff>
    </xdr:to>
    <xdr:pic>
      <xdr:nvPicPr>
        <xdr:cNvPr id="32" name="Imagen 31">
          <a:extLst>
            <a:ext uri="{FF2B5EF4-FFF2-40B4-BE49-F238E27FC236}">
              <a16:creationId xmlns:a16="http://schemas.microsoft.com/office/drawing/2014/main" id="{592A729D-A847-4A59-8616-42BDBB36FF71}"/>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56360" y="35311080"/>
          <a:ext cx="0" cy="1615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3" name="1 Grupo">
          <a:extLst>
            <a:ext uri="{FF2B5EF4-FFF2-40B4-BE49-F238E27FC236}">
              <a16:creationId xmlns:a16="http://schemas.microsoft.com/office/drawing/2014/main" id="{4E5C4E26-5DE7-4398-BC9D-1D565D88FFB5}"/>
            </a:ext>
          </a:extLst>
        </xdr:cNvPr>
        <xdr:cNvGrpSpPr>
          <a:grpSpLocks/>
        </xdr:cNvGrpSpPr>
      </xdr:nvGrpSpPr>
      <xdr:grpSpPr bwMode="auto">
        <a:xfrm>
          <a:off x="0" y="0"/>
          <a:ext cx="6445903" cy="1279559"/>
          <a:chOff x="57150" y="47625"/>
          <a:chExt cx="6316603" cy="1200288"/>
        </a:xfrm>
      </xdr:grpSpPr>
      <xdr:pic>
        <xdr:nvPicPr>
          <xdr:cNvPr id="34" name="1 Imagen" descr="ESCUDO-transp-lema-blanco.png">
            <a:extLst>
              <a:ext uri="{FF2B5EF4-FFF2-40B4-BE49-F238E27FC236}">
                <a16:creationId xmlns:a16="http://schemas.microsoft.com/office/drawing/2014/main" id="{0E8A7594-0480-4BD0-8B42-5E8387A3E4B6}"/>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35" name="3 CuadroTexto">
            <a:extLst>
              <a:ext uri="{FF2B5EF4-FFF2-40B4-BE49-F238E27FC236}">
                <a16:creationId xmlns:a16="http://schemas.microsoft.com/office/drawing/2014/main" id="{78BA4FE4-E6DA-8E7E-F23B-C3CB301BE149}"/>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36" name="1 Grupo">
          <a:extLst>
            <a:ext uri="{FF2B5EF4-FFF2-40B4-BE49-F238E27FC236}">
              <a16:creationId xmlns:a16="http://schemas.microsoft.com/office/drawing/2014/main" id="{10EC308E-F383-403E-8A3A-7F358E52767C}"/>
            </a:ext>
          </a:extLst>
        </xdr:cNvPr>
        <xdr:cNvGrpSpPr>
          <a:grpSpLocks/>
        </xdr:cNvGrpSpPr>
      </xdr:nvGrpSpPr>
      <xdr:grpSpPr bwMode="auto">
        <a:xfrm>
          <a:off x="0" y="0"/>
          <a:ext cx="6445903" cy="1279559"/>
          <a:chOff x="57150" y="47625"/>
          <a:chExt cx="6316603" cy="1200288"/>
        </a:xfrm>
      </xdr:grpSpPr>
      <xdr:pic>
        <xdr:nvPicPr>
          <xdr:cNvPr id="37" name="1 Imagen" descr="ESCUDO-transp-lema-blanco.png">
            <a:extLst>
              <a:ext uri="{FF2B5EF4-FFF2-40B4-BE49-F238E27FC236}">
                <a16:creationId xmlns:a16="http://schemas.microsoft.com/office/drawing/2014/main" id="{48F66582-ACBA-8C98-1A08-4604929CEDBD}"/>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38" name="3 CuadroTexto">
            <a:extLst>
              <a:ext uri="{FF2B5EF4-FFF2-40B4-BE49-F238E27FC236}">
                <a16:creationId xmlns:a16="http://schemas.microsoft.com/office/drawing/2014/main" id="{35E94119-E80D-A398-2844-46DD6D9F4A04}"/>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39" name="1 Grupo">
          <a:extLst>
            <a:ext uri="{FF2B5EF4-FFF2-40B4-BE49-F238E27FC236}">
              <a16:creationId xmlns:a16="http://schemas.microsoft.com/office/drawing/2014/main" id="{DC9001A6-0968-40C9-976B-40CCC54D7D35}"/>
            </a:ext>
          </a:extLst>
        </xdr:cNvPr>
        <xdr:cNvGrpSpPr>
          <a:grpSpLocks/>
        </xdr:cNvGrpSpPr>
      </xdr:nvGrpSpPr>
      <xdr:grpSpPr bwMode="auto">
        <a:xfrm>
          <a:off x="0" y="0"/>
          <a:ext cx="6445903" cy="1279559"/>
          <a:chOff x="57150" y="47625"/>
          <a:chExt cx="6316603" cy="1200288"/>
        </a:xfrm>
      </xdr:grpSpPr>
      <xdr:pic>
        <xdr:nvPicPr>
          <xdr:cNvPr id="40" name="1 Imagen" descr="ESCUDO-transp-lema-blanco.png">
            <a:extLst>
              <a:ext uri="{FF2B5EF4-FFF2-40B4-BE49-F238E27FC236}">
                <a16:creationId xmlns:a16="http://schemas.microsoft.com/office/drawing/2014/main" id="{40ABEFAE-5037-0751-25BD-3C95A5C291E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41" name="3 CuadroTexto">
            <a:extLst>
              <a:ext uri="{FF2B5EF4-FFF2-40B4-BE49-F238E27FC236}">
                <a16:creationId xmlns:a16="http://schemas.microsoft.com/office/drawing/2014/main" id="{56CD917E-F5A2-AE83-7B41-CF12AE648492}"/>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2</xdr:col>
      <xdr:colOff>329565</xdr:colOff>
      <xdr:row>157</xdr:row>
      <xdr:rowOff>15240</xdr:rowOff>
    </xdr:from>
    <xdr:to>
      <xdr:col>3</xdr:col>
      <xdr:colOff>6872</xdr:colOff>
      <xdr:row>159</xdr:row>
      <xdr:rowOff>22892</xdr:rowOff>
    </xdr:to>
    <xdr:pic>
      <xdr:nvPicPr>
        <xdr:cNvPr id="2" name="Imagen 1">
          <a:extLst>
            <a:ext uri="{FF2B5EF4-FFF2-40B4-BE49-F238E27FC236}">
              <a16:creationId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1223" y="45142357"/>
          <a:ext cx="7766" cy="3964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2916</xdr:colOff>
      <xdr:row>164</xdr:row>
      <xdr:rowOff>53340</xdr:rowOff>
    </xdr:from>
    <xdr:to>
      <xdr:col>3</xdr:col>
      <xdr:colOff>4939</xdr:colOff>
      <xdr:row>165</xdr:row>
      <xdr:rowOff>160045</xdr:rowOff>
    </xdr:to>
    <xdr:pic>
      <xdr:nvPicPr>
        <xdr:cNvPr id="3" name="Imagen 2">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5033" y="54617983"/>
          <a:ext cx="2023" cy="14771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1E00-000004000000}"/>
            </a:ext>
          </a:extLst>
        </xdr:cNvPr>
        <xdr:cNvGrpSpPr>
          <a:grpSpLocks/>
        </xdr:cNvGrpSpPr>
      </xdr:nvGrpSpPr>
      <xdr:grpSpPr bwMode="auto">
        <a:xfrm>
          <a:off x="0" y="0"/>
          <a:ext cx="6010475" cy="1279559"/>
          <a:chOff x="57150" y="47625"/>
          <a:chExt cx="6316603" cy="1200288"/>
        </a:xfrm>
      </xdr:grpSpPr>
      <xdr:pic>
        <xdr:nvPicPr>
          <xdr:cNvPr id="5" name="1 Imagen" descr="ESCUDO-transp-lema-blanco.png">
            <a:extLst>
              <a:ext uri="{FF2B5EF4-FFF2-40B4-BE49-F238E27FC236}">
                <a16:creationId xmlns:a16="http://schemas.microsoft.com/office/drawing/2014/main" id="{00000000-0008-0000-1E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1E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7" name="1 Grupo">
          <a:extLst>
            <a:ext uri="{FF2B5EF4-FFF2-40B4-BE49-F238E27FC236}">
              <a16:creationId xmlns:a16="http://schemas.microsoft.com/office/drawing/2014/main" id="{BB394843-329F-455B-A75B-C7042435C871}"/>
            </a:ext>
          </a:extLst>
        </xdr:cNvPr>
        <xdr:cNvGrpSpPr>
          <a:grpSpLocks/>
        </xdr:cNvGrpSpPr>
      </xdr:nvGrpSpPr>
      <xdr:grpSpPr bwMode="auto">
        <a:xfrm>
          <a:off x="0" y="0"/>
          <a:ext cx="6010475" cy="1279559"/>
          <a:chOff x="57150" y="47625"/>
          <a:chExt cx="6316603" cy="1200288"/>
        </a:xfrm>
      </xdr:grpSpPr>
      <xdr:pic>
        <xdr:nvPicPr>
          <xdr:cNvPr id="8" name="1 Imagen" descr="ESCUDO-transp-lema-blanco.png">
            <a:extLst>
              <a:ext uri="{FF2B5EF4-FFF2-40B4-BE49-F238E27FC236}">
                <a16:creationId xmlns:a16="http://schemas.microsoft.com/office/drawing/2014/main" id="{50765837-E138-427B-B106-700BD169199D}"/>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9" name="3 CuadroTexto">
            <a:extLst>
              <a:ext uri="{FF2B5EF4-FFF2-40B4-BE49-F238E27FC236}">
                <a16:creationId xmlns:a16="http://schemas.microsoft.com/office/drawing/2014/main" id="{A0433A76-D472-4D39-A8BC-AC819FF30C2F}"/>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0" name="1 Grupo">
          <a:extLst>
            <a:ext uri="{FF2B5EF4-FFF2-40B4-BE49-F238E27FC236}">
              <a16:creationId xmlns:a16="http://schemas.microsoft.com/office/drawing/2014/main" id="{6FE23851-B580-492C-B1EE-1D443232F73B}"/>
            </a:ext>
          </a:extLst>
        </xdr:cNvPr>
        <xdr:cNvGrpSpPr>
          <a:grpSpLocks/>
        </xdr:cNvGrpSpPr>
      </xdr:nvGrpSpPr>
      <xdr:grpSpPr bwMode="auto">
        <a:xfrm>
          <a:off x="0" y="0"/>
          <a:ext cx="6010475" cy="1279559"/>
          <a:chOff x="57150" y="47625"/>
          <a:chExt cx="6316603" cy="1200288"/>
        </a:xfrm>
      </xdr:grpSpPr>
      <xdr:pic>
        <xdr:nvPicPr>
          <xdr:cNvPr id="11" name="1 Imagen" descr="ESCUDO-transp-lema-blanco.png">
            <a:extLst>
              <a:ext uri="{FF2B5EF4-FFF2-40B4-BE49-F238E27FC236}">
                <a16:creationId xmlns:a16="http://schemas.microsoft.com/office/drawing/2014/main" id="{554328F4-924C-4F78-8954-EBBCFA961CBD}"/>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2" name="3 CuadroTexto">
            <a:extLst>
              <a:ext uri="{FF2B5EF4-FFF2-40B4-BE49-F238E27FC236}">
                <a16:creationId xmlns:a16="http://schemas.microsoft.com/office/drawing/2014/main" id="{F47CBCC5-FF10-4BA2-A172-DDF276FB105F}"/>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3" name="1 Grupo">
          <a:extLst>
            <a:ext uri="{FF2B5EF4-FFF2-40B4-BE49-F238E27FC236}">
              <a16:creationId xmlns:a16="http://schemas.microsoft.com/office/drawing/2014/main" id="{F8A05668-A20C-42E2-8FBB-75F7EF076376}"/>
            </a:ext>
          </a:extLst>
        </xdr:cNvPr>
        <xdr:cNvGrpSpPr>
          <a:grpSpLocks/>
        </xdr:cNvGrpSpPr>
      </xdr:nvGrpSpPr>
      <xdr:grpSpPr bwMode="auto">
        <a:xfrm>
          <a:off x="0" y="0"/>
          <a:ext cx="6010475" cy="1279559"/>
          <a:chOff x="57150" y="47625"/>
          <a:chExt cx="6316603" cy="1200288"/>
        </a:xfrm>
      </xdr:grpSpPr>
      <xdr:pic>
        <xdr:nvPicPr>
          <xdr:cNvPr id="14" name="1 Imagen" descr="ESCUDO-transp-lema-blanco.png">
            <a:extLst>
              <a:ext uri="{FF2B5EF4-FFF2-40B4-BE49-F238E27FC236}">
                <a16:creationId xmlns:a16="http://schemas.microsoft.com/office/drawing/2014/main" id="{C2042B12-9818-482B-914C-8BE0A7C1C89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5" name="3 CuadroTexto">
            <a:extLst>
              <a:ext uri="{FF2B5EF4-FFF2-40B4-BE49-F238E27FC236}">
                <a16:creationId xmlns:a16="http://schemas.microsoft.com/office/drawing/2014/main" id="{3AF50437-7B9C-4FBB-BD2A-2FBF13964E0E}"/>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2</xdr:col>
      <xdr:colOff>329565</xdr:colOff>
      <xdr:row>157</xdr:row>
      <xdr:rowOff>15240</xdr:rowOff>
    </xdr:from>
    <xdr:to>
      <xdr:col>3</xdr:col>
      <xdr:colOff>6872</xdr:colOff>
      <xdr:row>159</xdr:row>
      <xdr:rowOff>22892</xdr:rowOff>
    </xdr:to>
    <xdr:pic>
      <xdr:nvPicPr>
        <xdr:cNvPr id="16" name="Imagen 15">
          <a:extLst>
            <a:ext uri="{FF2B5EF4-FFF2-40B4-BE49-F238E27FC236}">
              <a16:creationId xmlns:a16="http://schemas.microsoft.com/office/drawing/2014/main" id="{B0CB6F03-E97D-4991-9D70-B6AAF55F2E29}"/>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0640" y="45763815"/>
          <a:ext cx="10682" cy="80848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2916</xdr:colOff>
      <xdr:row>164</xdr:row>
      <xdr:rowOff>53340</xdr:rowOff>
    </xdr:from>
    <xdr:to>
      <xdr:col>3</xdr:col>
      <xdr:colOff>4939</xdr:colOff>
      <xdr:row>165</xdr:row>
      <xdr:rowOff>160045</xdr:rowOff>
    </xdr:to>
    <xdr:pic>
      <xdr:nvPicPr>
        <xdr:cNvPr id="17" name="Imagen 16">
          <a:extLst>
            <a:ext uri="{FF2B5EF4-FFF2-40B4-BE49-F238E27FC236}">
              <a16:creationId xmlns:a16="http://schemas.microsoft.com/office/drawing/2014/main" id="{58EC5997-1A30-46D3-A995-93933C74D7B8}"/>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7366" y="56860440"/>
          <a:ext cx="2023" cy="582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18" name="1 Grupo">
          <a:extLst>
            <a:ext uri="{FF2B5EF4-FFF2-40B4-BE49-F238E27FC236}">
              <a16:creationId xmlns:a16="http://schemas.microsoft.com/office/drawing/2014/main" id="{FC13680F-D210-4399-BEAB-98CEE25D5FB1}"/>
            </a:ext>
          </a:extLst>
        </xdr:cNvPr>
        <xdr:cNvGrpSpPr>
          <a:grpSpLocks/>
        </xdr:cNvGrpSpPr>
      </xdr:nvGrpSpPr>
      <xdr:grpSpPr bwMode="auto">
        <a:xfrm>
          <a:off x="0" y="0"/>
          <a:ext cx="6010475" cy="1279559"/>
          <a:chOff x="57150" y="47625"/>
          <a:chExt cx="6316603" cy="1200288"/>
        </a:xfrm>
      </xdr:grpSpPr>
      <xdr:pic>
        <xdr:nvPicPr>
          <xdr:cNvPr id="19" name="1 Imagen" descr="ESCUDO-transp-lema-blanco.png">
            <a:extLst>
              <a:ext uri="{FF2B5EF4-FFF2-40B4-BE49-F238E27FC236}">
                <a16:creationId xmlns:a16="http://schemas.microsoft.com/office/drawing/2014/main" id="{F0B7B0EC-9D63-41E8-A4D6-5F20567BCBF3}"/>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20" name="3 CuadroTexto">
            <a:extLst>
              <a:ext uri="{FF2B5EF4-FFF2-40B4-BE49-F238E27FC236}">
                <a16:creationId xmlns:a16="http://schemas.microsoft.com/office/drawing/2014/main" id="{24F546DF-6D6D-4B5D-BAD0-2F0DD4211E4F}"/>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21" name="1 Grupo">
          <a:extLst>
            <a:ext uri="{FF2B5EF4-FFF2-40B4-BE49-F238E27FC236}">
              <a16:creationId xmlns:a16="http://schemas.microsoft.com/office/drawing/2014/main" id="{B2849F99-782D-4E82-8114-30DD72F0EE1F}"/>
            </a:ext>
          </a:extLst>
        </xdr:cNvPr>
        <xdr:cNvGrpSpPr>
          <a:grpSpLocks/>
        </xdr:cNvGrpSpPr>
      </xdr:nvGrpSpPr>
      <xdr:grpSpPr bwMode="auto">
        <a:xfrm>
          <a:off x="0" y="0"/>
          <a:ext cx="6010475" cy="1279559"/>
          <a:chOff x="57150" y="47625"/>
          <a:chExt cx="6316603" cy="1200288"/>
        </a:xfrm>
      </xdr:grpSpPr>
      <xdr:pic>
        <xdr:nvPicPr>
          <xdr:cNvPr id="22" name="1 Imagen" descr="ESCUDO-transp-lema-blanco.png">
            <a:extLst>
              <a:ext uri="{FF2B5EF4-FFF2-40B4-BE49-F238E27FC236}">
                <a16:creationId xmlns:a16="http://schemas.microsoft.com/office/drawing/2014/main" id="{97FD3BB0-8A1D-47DB-B14B-47E231C518E5}"/>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23" name="3 CuadroTexto">
            <a:extLst>
              <a:ext uri="{FF2B5EF4-FFF2-40B4-BE49-F238E27FC236}">
                <a16:creationId xmlns:a16="http://schemas.microsoft.com/office/drawing/2014/main" id="{E610885A-CA34-42E5-B873-69594C40278E}"/>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24" name="1 Grupo">
          <a:extLst>
            <a:ext uri="{FF2B5EF4-FFF2-40B4-BE49-F238E27FC236}">
              <a16:creationId xmlns:a16="http://schemas.microsoft.com/office/drawing/2014/main" id="{F18EACAA-CE42-4040-8493-DA46C7F3F21D}"/>
            </a:ext>
          </a:extLst>
        </xdr:cNvPr>
        <xdr:cNvGrpSpPr>
          <a:grpSpLocks/>
        </xdr:cNvGrpSpPr>
      </xdr:nvGrpSpPr>
      <xdr:grpSpPr bwMode="auto">
        <a:xfrm>
          <a:off x="0" y="0"/>
          <a:ext cx="6010475" cy="1279559"/>
          <a:chOff x="57150" y="47625"/>
          <a:chExt cx="6316603" cy="1200288"/>
        </a:xfrm>
      </xdr:grpSpPr>
      <xdr:pic>
        <xdr:nvPicPr>
          <xdr:cNvPr id="25" name="1 Imagen" descr="ESCUDO-transp-lema-blanco.png">
            <a:extLst>
              <a:ext uri="{FF2B5EF4-FFF2-40B4-BE49-F238E27FC236}">
                <a16:creationId xmlns:a16="http://schemas.microsoft.com/office/drawing/2014/main" id="{E1794577-EFAE-4C8A-941A-726C326AEDCE}"/>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26" name="3 CuadroTexto">
            <a:extLst>
              <a:ext uri="{FF2B5EF4-FFF2-40B4-BE49-F238E27FC236}">
                <a16:creationId xmlns:a16="http://schemas.microsoft.com/office/drawing/2014/main" id="{22235BA7-CE38-407A-A315-A4554890964F}"/>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27" name="1 Grupo">
          <a:extLst>
            <a:ext uri="{FF2B5EF4-FFF2-40B4-BE49-F238E27FC236}">
              <a16:creationId xmlns:a16="http://schemas.microsoft.com/office/drawing/2014/main" id="{5E179E13-BA53-46FD-9D21-A64977E0CEEE}"/>
            </a:ext>
          </a:extLst>
        </xdr:cNvPr>
        <xdr:cNvGrpSpPr>
          <a:grpSpLocks/>
        </xdr:cNvGrpSpPr>
      </xdr:nvGrpSpPr>
      <xdr:grpSpPr bwMode="auto">
        <a:xfrm>
          <a:off x="0" y="0"/>
          <a:ext cx="6010475" cy="1279559"/>
          <a:chOff x="57150" y="47625"/>
          <a:chExt cx="6316603" cy="1200288"/>
        </a:xfrm>
      </xdr:grpSpPr>
      <xdr:pic>
        <xdr:nvPicPr>
          <xdr:cNvPr id="28" name="1 Imagen" descr="ESCUDO-transp-lema-blanco.png">
            <a:extLst>
              <a:ext uri="{FF2B5EF4-FFF2-40B4-BE49-F238E27FC236}">
                <a16:creationId xmlns:a16="http://schemas.microsoft.com/office/drawing/2014/main" id="{A0E8CCF0-DD3D-49C2-B650-0AF3A70CA314}"/>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29" name="3 CuadroTexto">
            <a:extLst>
              <a:ext uri="{FF2B5EF4-FFF2-40B4-BE49-F238E27FC236}">
                <a16:creationId xmlns:a16="http://schemas.microsoft.com/office/drawing/2014/main" id="{E22C7133-67B2-4421-A7A2-731F9B6ABDCA}"/>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2</xdr:col>
      <xdr:colOff>329565</xdr:colOff>
      <xdr:row>157</xdr:row>
      <xdr:rowOff>15240</xdr:rowOff>
    </xdr:from>
    <xdr:to>
      <xdr:col>3</xdr:col>
      <xdr:colOff>6872</xdr:colOff>
      <xdr:row>159</xdr:row>
      <xdr:rowOff>22892</xdr:rowOff>
    </xdr:to>
    <xdr:pic>
      <xdr:nvPicPr>
        <xdr:cNvPr id="30" name="Imagen 29">
          <a:extLst>
            <a:ext uri="{FF2B5EF4-FFF2-40B4-BE49-F238E27FC236}">
              <a16:creationId xmlns:a16="http://schemas.microsoft.com/office/drawing/2014/main" id="{F901CD1B-3A2A-490F-AEF0-2307E80448E2}"/>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43025" y="42870120"/>
          <a:ext cx="20207" cy="6865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2916</xdr:colOff>
      <xdr:row>164</xdr:row>
      <xdr:rowOff>53340</xdr:rowOff>
    </xdr:from>
    <xdr:to>
      <xdr:col>3</xdr:col>
      <xdr:colOff>4939</xdr:colOff>
      <xdr:row>165</xdr:row>
      <xdr:rowOff>160045</xdr:rowOff>
    </xdr:to>
    <xdr:pic>
      <xdr:nvPicPr>
        <xdr:cNvPr id="31" name="Imagen 30">
          <a:extLst>
            <a:ext uri="{FF2B5EF4-FFF2-40B4-BE49-F238E27FC236}">
              <a16:creationId xmlns:a16="http://schemas.microsoft.com/office/drawing/2014/main" id="{8797501B-E80C-47FC-B245-FB3377508BD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59276" y="52273200"/>
          <a:ext cx="2023" cy="4419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2" name="1 Grupo">
          <a:extLst>
            <a:ext uri="{FF2B5EF4-FFF2-40B4-BE49-F238E27FC236}">
              <a16:creationId xmlns:a16="http://schemas.microsoft.com/office/drawing/2014/main" id="{B50AA66E-637A-40C2-97BD-A3B359A2072C}"/>
            </a:ext>
          </a:extLst>
        </xdr:cNvPr>
        <xdr:cNvGrpSpPr>
          <a:grpSpLocks/>
        </xdr:cNvGrpSpPr>
      </xdr:nvGrpSpPr>
      <xdr:grpSpPr bwMode="auto">
        <a:xfrm>
          <a:off x="0" y="0"/>
          <a:ext cx="6010475" cy="1279559"/>
          <a:chOff x="57150" y="47625"/>
          <a:chExt cx="6316603" cy="1200288"/>
        </a:xfrm>
      </xdr:grpSpPr>
      <xdr:pic>
        <xdr:nvPicPr>
          <xdr:cNvPr id="33" name="1 Imagen" descr="ESCUDO-transp-lema-blanco.png">
            <a:extLst>
              <a:ext uri="{FF2B5EF4-FFF2-40B4-BE49-F238E27FC236}">
                <a16:creationId xmlns:a16="http://schemas.microsoft.com/office/drawing/2014/main" id="{063E280B-3336-E439-04BC-2AB57AD26F3F}"/>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34" name="3 CuadroTexto">
            <a:extLst>
              <a:ext uri="{FF2B5EF4-FFF2-40B4-BE49-F238E27FC236}">
                <a16:creationId xmlns:a16="http://schemas.microsoft.com/office/drawing/2014/main" id="{7B7DB890-8504-41C3-B841-D047D179EFFE}"/>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35" name="1 Grupo">
          <a:extLst>
            <a:ext uri="{FF2B5EF4-FFF2-40B4-BE49-F238E27FC236}">
              <a16:creationId xmlns:a16="http://schemas.microsoft.com/office/drawing/2014/main" id="{4F372B29-78F3-44E2-A867-DE68F1FEE822}"/>
            </a:ext>
          </a:extLst>
        </xdr:cNvPr>
        <xdr:cNvGrpSpPr>
          <a:grpSpLocks/>
        </xdr:cNvGrpSpPr>
      </xdr:nvGrpSpPr>
      <xdr:grpSpPr bwMode="auto">
        <a:xfrm>
          <a:off x="0" y="0"/>
          <a:ext cx="6010475" cy="1279559"/>
          <a:chOff x="57150" y="47625"/>
          <a:chExt cx="6316603" cy="1200288"/>
        </a:xfrm>
      </xdr:grpSpPr>
      <xdr:pic>
        <xdr:nvPicPr>
          <xdr:cNvPr id="36" name="1 Imagen" descr="ESCUDO-transp-lema-blanco.png">
            <a:extLst>
              <a:ext uri="{FF2B5EF4-FFF2-40B4-BE49-F238E27FC236}">
                <a16:creationId xmlns:a16="http://schemas.microsoft.com/office/drawing/2014/main" id="{E13AA825-2EC4-D967-0C9D-5381F4366198}"/>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37" name="3 CuadroTexto">
            <a:extLst>
              <a:ext uri="{FF2B5EF4-FFF2-40B4-BE49-F238E27FC236}">
                <a16:creationId xmlns:a16="http://schemas.microsoft.com/office/drawing/2014/main" id="{6A6D5CC6-9806-9003-5588-51D2ACA57B49}"/>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38" name="1 Grupo">
          <a:extLst>
            <a:ext uri="{FF2B5EF4-FFF2-40B4-BE49-F238E27FC236}">
              <a16:creationId xmlns:a16="http://schemas.microsoft.com/office/drawing/2014/main" id="{9DDC6028-E948-4ABF-96BE-25CD7813F57C}"/>
            </a:ext>
          </a:extLst>
        </xdr:cNvPr>
        <xdr:cNvGrpSpPr>
          <a:grpSpLocks/>
        </xdr:cNvGrpSpPr>
      </xdr:nvGrpSpPr>
      <xdr:grpSpPr bwMode="auto">
        <a:xfrm>
          <a:off x="0" y="0"/>
          <a:ext cx="6010475" cy="1279559"/>
          <a:chOff x="57150" y="47625"/>
          <a:chExt cx="6316603" cy="1200288"/>
        </a:xfrm>
      </xdr:grpSpPr>
      <xdr:pic>
        <xdr:nvPicPr>
          <xdr:cNvPr id="39" name="1 Imagen" descr="ESCUDO-transp-lema-blanco.png">
            <a:extLst>
              <a:ext uri="{FF2B5EF4-FFF2-40B4-BE49-F238E27FC236}">
                <a16:creationId xmlns:a16="http://schemas.microsoft.com/office/drawing/2014/main" id="{CEB2D107-9B72-FBC6-0CC0-964BDF626182}"/>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40" name="3 CuadroTexto">
            <a:extLst>
              <a:ext uri="{FF2B5EF4-FFF2-40B4-BE49-F238E27FC236}">
                <a16:creationId xmlns:a16="http://schemas.microsoft.com/office/drawing/2014/main" id="{4E5280C9-4B9C-6090-9496-73974DC90D7F}"/>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41" name="1 Grupo">
          <a:extLst>
            <a:ext uri="{FF2B5EF4-FFF2-40B4-BE49-F238E27FC236}">
              <a16:creationId xmlns:a16="http://schemas.microsoft.com/office/drawing/2014/main" id="{557B09CF-3A9B-423D-8BAE-BE9FF883AD31}"/>
            </a:ext>
          </a:extLst>
        </xdr:cNvPr>
        <xdr:cNvGrpSpPr>
          <a:grpSpLocks/>
        </xdr:cNvGrpSpPr>
      </xdr:nvGrpSpPr>
      <xdr:grpSpPr bwMode="auto">
        <a:xfrm>
          <a:off x="0" y="0"/>
          <a:ext cx="6010475" cy="1279559"/>
          <a:chOff x="57150" y="47625"/>
          <a:chExt cx="6316603" cy="1200288"/>
        </a:xfrm>
      </xdr:grpSpPr>
      <xdr:pic>
        <xdr:nvPicPr>
          <xdr:cNvPr id="42" name="1 Imagen" descr="ESCUDO-transp-lema-blanco.png">
            <a:extLst>
              <a:ext uri="{FF2B5EF4-FFF2-40B4-BE49-F238E27FC236}">
                <a16:creationId xmlns:a16="http://schemas.microsoft.com/office/drawing/2014/main" id="{2C6E5103-50EA-A7A0-80CD-BADF47633E6C}"/>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43" name="3 CuadroTexto">
            <a:extLst>
              <a:ext uri="{FF2B5EF4-FFF2-40B4-BE49-F238E27FC236}">
                <a16:creationId xmlns:a16="http://schemas.microsoft.com/office/drawing/2014/main" id="{57B33150-756C-0F4F-5FA5-110DB499614B}"/>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2</xdr:col>
      <xdr:colOff>329565</xdr:colOff>
      <xdr:row>157</xdr:row>
      <xdr:rowOff>15240</xdr:rowOff>
    </xdr:from>
    <xdr:to>
      <xdr:col>3</xdr:col>
      <xdr:colOff>6872</xdr:colOff>
      <xdr:row>159</xdr:row>
      <xdr:rowOff>22892</xdr:rowOff>
    </xdr:to>
    <xdr:pic>
      <xdr:nvPicPr>
        <xdr:cNvPr id="44" name="Imagen 43">
          <a:extLst>
            <a:ext uri="{FF2B5EF4-FFF2-40B4-BE49-F238E27FC236}">
              <a16:creationId xmlns:a16="http://schemas.microsoft.com/office/drawing/2014/main" id="{EEE5EEB7-FB58-425D-AC85-86E808D89602}"/>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43025" y="42870120"/>
          <a:ext cx="20207" cy="6865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2916</xdr:colOff>
      <xdr:row>164</xdr:row>
      <xdr:rowOff>53340</xdr:rowOff>
    </xdr:from>
    <xdr:to>
      <xdr:col>3</xdr:col>
      <xdr:colOff>4939</xdr:colOff>
      <xdr:row>165</xdr:row>
      <xdr:rowOff>160045</xdr:rowOff>
    </xdr:to>
    <xdr:pic>
      <xdr:nvPicPr>
        <xdr:cNvPr id="45" name="Imagen 44">
          <a:extLst>
            <a:ext uri="{FF2B5EF4-FFF2-40B4-BE49-F238E27FC236}">
              <a16:creationId xmlns:a16="http://schemas.microsoft.com/office/drawing/2014/main" id="{17F678D5-598C-48F8-9E18-532F979492F9}"/>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59276" y="52273200"/>
          <a:ext cx="2023" cy="4419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6" name="1 Grupo">
          <a:extLst>
            <a:ext uri="{FF2B5EF4-FFF2-40B4-BE49-F238E27FC236}">
              <a16:creationId xmlns:a16="http://schemas.microsoft.com/office/drawing/2014/main" id="{9C7AA589-7F02-412A-9B87-84F26155E852}"/>
            </a:ext>
          </a:extLst>
        </xdr:cNvPr>
        <xdr:cNvGrpSpPr>
          <a:grpSpLocks/>
        </xdr:cNvGrpSpPr>
      </xdr:nvGrpSpPr>
      <xdr:grpSpPr bwMode="auto">
        <a:xfrm>
          <a:off x="0" y="0"/>
          <a:ext cx="6010475" cy="1279559"/>
          <a:chOff x="57150" y="47625"/>
          <a:chExt cx="6316603" cy="1200288"/>
        </a:xfrm>
      </xdr:grpSpPr>
      <xdr:pic>
        <xdr:nvPicPr>
          <xdr:cNvPr id="47" name="1 Imagen" descr="ESCUDO-transp-lema-blanco.png">
            <a:extLst>
              <a:ext uri="{FF2B5EF4-FFF2-40B4-BE49-F238E27FC236}">
                <a16:creationId xmlns:a16="http://schemas.microsoft.com/office/drawing/2014/main" id="{650EADA2-AD8E-680A-1437-21C0A27E9A2F}"/>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48" name="3 CuadroTexto">
            <a:extLst>
              <a:ext uri="{FF2B5EF4-FFF2-40B4-BE49-F238E27FC236}">
                <a16:creationId xmlns:a16="http://schemas.microsoft.com/office/drawing/2014/main" id="{42FC67E2-6941-1567-4932-FF4DC74C72C8}"/>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49" name="1 Grupo">
          <a:extLst>
            <a:ext uri="{FF2B5EF4-FFF2-40B4-BE49-F238E27FC236}">
              <a16:creationId xmlns:a16="http://schemas.microsoft.com/office/drawing/2014/main" id="{3BE14666-A47C-4F88-B3A1-B08D7944A4DB}"/>
            </a:ext>
          </a:extLst>
        </xdr:cNvPr>
        <xdr:cNvGrpSpPr>
          <a:grpSpLocks/>
        </xdr:cNvGrpSpPr>
      </xdr:nvGrpSpPr>
      <xdr:grpSpPr bwMode="auto">
        <a:xfrm>
          <a:off x="0" y="0"/>
          <a:ext cx="6010475" cy="1279559"/>
          <a:chOff x="57150" y="47625"/>
          <a:chExt cx="6316603" cy="1200288"/>
        </a:xfrm>
      </xdr:grpSpPr>
      <xdr:pic>
        <xdr:nvPicPr>
          <xdr:cNvPr id="50" name="1 Imagen" descr="ESCUDO-transp-lema-blanco.png">
            <a:extLst>
              <a:ext uri="{FF2B5EF4-FFF2-40B4-BE49-F238E27FC236}">
                <a16:creationId xmlns:a16="http://schemas.microsoft.com/office/drawing/2014/main" id="{D7D2C098-1023-FC59-4DDE-8B742FB1AEE9}"/>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1" name="3 CuadroTexto">
            <a:extLst>
              <a:ext uri="{FF2B5EF4-FFF2-40B4-BE49-F238E27FC236}">
                <a16:creationId xmlns:a16="http://schemas.microsoft.com/office/drawing/2014/main" id="{2FE4B6FB-B2E3-B6BE-D492-1CDCB20A6ACE}"/>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52" name="1 Grupo">
          <a:extLst>
            <a:ext uri="{FF2B5EF4-FFF2-40B4-BE49-F238E27FC236}">
              <a16:creationId xmlns:a16="http://schemas.microsoft.com/office/drawing/2014/main" id="{57640E47-4D7F-48AE-9D61-6C565398AEF2}"/>
            </a:ext>
          </a:extLst>
        </xdr:cNvPr>
        <xdr:cNvGrpSpPr>
          <a:grpSpLocks/>
        </xdr:cNvGrpSpPr>
      </xdr:nvGrpSpPr>
      <xdr:grpSpPr bwMode="auto">
        <a:xfrm>
          <a:off x="0" y="0"/>
          <a:ext cx="6010475" cy="1279559"/>
          <a:chOff x="57150" y="47625"/>
          <a:chExt cx="6316603" cy="1200288"/>
        </a:xfrm>
      </xdr:grpSpPr>
      <xdr:pic>
        <xdr:nvPicPr>
          <xdr:cNvPr id="53" name="1 Imagen" descr="ESCUDO-transp-lema-blanco.png">
            <a:extLst>
              <a:ext uri="{FF2B5EF4-FFF2-40B4-BE49-F238E27FC236}">
                <a16:creationId xmlns:a16="http://schemas.microsoft.com/office/drawing/2014/main" id="{95473D21-47CE-B027-3A9A-D5F075B89D2E}"/>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4" name="3 CuadroTexto">
            <a:extLst>
              <a:ext uri="{FF2B5EF4-FFF2-40B4-BE49-F238E27FC236}">
                <a16:creationId xmlns:a16="http://schemas.microsoft.com/office/drawing/2014/main" id="{19071543-669E-224C-D131-0F188A5B2EE7}"/>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55" name="1 Grupo">
          <a:extLst>
            <a:ext uri="{FF2B5EF4-FFF2-40B4-BE49-F238E27FC236}">
              <a16:creationId xmlns:a16="http://schemas.microsoft.com/office/drawing/2014/main" id="{AE6C5326-1186-4EFA-9670-71611C2599BF}"/>
            </a:ext>
          </a:extLst>
        </xdr:cNvPr>
        <xdr:cNvGrpSpPr>
          <a:grpSpLocks/>
        </xdr:cNvGrpSpPr>
      </xdr:nvGrpSpPr>
      <xdr:grpSpPr bwMode="auto">
        <a:xfrm>
          <a:off x="0" y="0"/>
          <a:ext cx="6010475" cy="1279559"/>
          <a:chOff x="57150" y="47625"/>
          <a:chExt cx="6316603" cy="1200288"/>
        </a:xfrm>
      </xdr:grpSpPr>
      <xdr:pic>
        <xdr:nvPicPr>
          <xdr:cNvPr id="56" name="1 Imagen" descr="ESCUDO-transp-lema-blanco.png">
            <a:extLst>
              <a:ext uri="{FF2B5EF4-FFF2-40B4-BE49-F238E27FC236}">
                <a16:creationId xmlns:a16="http://schemas.microsoft.com/office/drawing/2014/main" id="{4E95FF56-D6E9-90C0-8912-AB6A9CB96458}"/>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7" name="3 CuadroTexto">
            <a:extLst>
              <a:ext uri="{FF2B5EF4-FFF2-40B4-BE49-F238E27FC236}">
                <a16:creationId xmlns:a16="http://schemas.microsoft.com/office/drawing/2014/main" id="{9AEFE5CB-52A0-718A-AF56-74353E520D51}"/>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2</xdr:col>
      <xdr:colOff>533401</xdr:colOff>
      <xdr:row>60</xdr:row>
      <xdr:rowOff>106680</xdr:rowOff>
    </xdr:from>
    <xdr:to>
      <xdr:col>2</xdr:col>
      <xdr:colOff>2019430</xdr:colOff>
      <xdr:row>62</xdr:row>
      <xdr:rowOff>22884</xdr:rowOff>
    </xdr:to>
    <xdr:pic>
      <xdr:nvPicPr>
        <xdr:cNvPr id="2" name="Imagen 1">
          <a:extLst>
            <a:ext uri="{FF2B5EF4-FFF2-40B4-BE49-F238E27FC236}">
              <a16:creationId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44981" y="22181820"/>
          <a:ext cx="1486029" cy="281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1F00-000003000000}"/>
            </a:ext>
          </a:extLst>
        </xdr:cNvPr>
        <xdr:cNvGrpSpPr>
          <a:grpSpLocks/>
        </xdr:cNvGrpSpPr>
      </xdr:nvGrpSpPr>
      <xdr:grpSpPr bwMode="auto">
        <a:xfrm>
          <a:off x="0" y="0"/>
          <a:ext cx="6375924" cy="1279559"/>
          <a:chOff x="57150" y="47625"/>
          <a:chExt cx="6316603" cy="1200288"/>
        </a:xfrm>
      </xdr:grpSpPr>
      <xdr:pic>
        <xdr:nvPicPr>
          <xdr:cNvPr id="4" name="1 Imagen" descr="ESCUDO-transp-lema-blanco.png">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1F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6" name="1 Grupo">
          <a:extLst>
            <a:ext uri="{FF2B5EF4-FFF2-40B4-BE49-F238E27FC236}">
              <a16:creationId xmlns:a16="http://schemas.microsoft.com/office/drawing/2014/main" id="{A2327E91-1BD2-48CB-948A-611A1A2557D4}"/>
            </a:ext>
          </a:extLst>
        </xdr:cNvPr>
        <xdr:cNvGrpSpPr>
          <a:grpSpLocks/>
        </xdr:cNvGrpSpPr>
      </xdr:nvGrpSpPr>
      <xdr:grpSpPr bwMode="auto">
        <a:xfrm>
          <a:off x="0" y="0"/>
          <a:ext cx="6375924" cy="1279559"/>
          <a:chOff x="57150" y="47625"/>
          <a:chExt cx="6316603" cy="1200288"/>
        </a:xfrm>
      </xdr:grpSpPr>
      <xdr:pic>
        <xdr:nvPicPr>
          <xdr:cNvPr id="7" name="1 Imagen" descr="ESCUDO-transp-lema-blanco.png">
            <a:extLst>
              <a:ext uri="{FF2B5EF4-FFF2-40B4-BE49-F238E27FC236}">
                <a16:creationId xmlns:a16="http://schemas.microsoft.com/office/drawing/2014/main" id="{EB1DBD94-8B6D-418A-BC42-06BCB9004DEA}"/>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8" name="3 CuadroTexto">
            <a:extLst>
              <a:ext uri="{FF2B5EF4-FFF2-40B4-BE49-F238E27FC236}">
                <a16:creationId xmlns:a16="http://schemas.microsoft.com/office/drawing/2014/main" id="{AD7990DF-5991-490B-B75C-C0DCF374394B}"/>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9" name="1 Grupo">
          <a:extLst>
            <a:ext uri="{FF2B5EF4-FFF2-40B4-BE49-F238E27FC236}">
              <a16:creationId xmlns:a16="http://schemas.microsoft.com/office/drawing/2014/main" id="{ACF32462-8B71-4B7B-AE5E-1A082E4CD6B9}"/>
            </a:ext>
          </a:extLst>
        </xdr:cNvPr>
        <xdr:cNvGrpSpPr>
          <a:grpSpLocks/>
        </xdr:cNvGrpSpPr>
      </xdr:nvGrpSpPr>
      <xdr:grpSpPr bwMode="auto">
        <a:xfrm>
          <a:off x="0" y="0"/>
          <a:ext cx="6375924" cy="1279559"/>
          <a:chOff x="57150" y="47625"/>
          <a:chExt cx="6316603" cy="1200288"/>
        </a:xfrm>
      </xdr:grpSpPr>
      <xdr:pic>
        <xdr:nvPicPr>
          <xdr:cNvPr id="10" name="1 Imagen" descr="ESCUDO-transp-lema-blanco.png">
            <a:extLst>
              <a:ext uri="{FF2B5EF4-FFF2-40B4-BE49-F238E27FC236}">
                <a16:creationId xmlns:a16="http://schemas.microsoft.com/office/drawing/2014/main" id="{66EDC22A-2F47-486D-881E-9299556D3EFE}"/>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1" name="3 CuadroTexto">
            <a:extLst>
              <a:ext uri="{FF2B5EF4-FFF2-40B4-BE49-F238E27FC236}">
                <a16:creationId xmlns:a16="http://schemas.microsoft.com/office/drawing/2014/main" id="{B5E1B1DC-2B16-4468-87C6-41D764AE3666}"/>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2" name="1 Grupo">
          <a:extLst>
            <a:ext uri="{FF2B5EF4-FFF2-40B4-BE49-F238E27FC236}">
              <a16:creationId xmlns:a16="http://schemas.microsoft.com/office/drawing/2014/main" id="{BCC9893E-4330-49D5-917F-D5CEC842255F}"/>
            </a:ext>
          </a:extLst>
        </xdr:cNvPr>
        <xdr:cNvGrpSpPr>
          <a:grpSpLocks/>
        </xdr:cNvGrpSpPr>
      </xdr:nvGrpSpPr>
      <xdr:grpSpPr bwMode="auto">
        <a:xfrm>
          <a:off x="0" y="0"/>
          <a:ext cx="6375924" cy="1279559"/>
          <a:chOff x="57150" y="47625"/>
          <a:chExt cx="6316603" cy="1200288"/>
        </a:xfrm>
      </xdr:grpSpPr>
      <xdr:pic>
        <xdr:nvPicPr>
          <xdr:cNvPr id="13" name="1 Imagen" descr="ESCUDO-transp-lema-blanco.png">
            <a:extLst>
              <a:ext uri="{FF2B5EF4-FFF2-40B4-BE49-F238E27FC236}">
                <a16:creationId xmlns:a16="http://schemas.microsoft.com/office/drawing/2014/main" id="{0CA9F06C-0147-46E7-9D7C-06DBE4091D32}"/>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4" name="3 CuadroTexto">
            <a:extLst>
              <a:ext uri="{FF2B5EF4-FFF2-40B4-BE49-F238E27FC236}">
                <a16:creationId xmlns:a16="http://schemas.microsoft.com/office/drawing/2014/main" id="{FFC18882-BBDA-40BC-B335-2AEB03B89239}"/>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5" name="1 Grupo">
          <a:extLst>
            <a:ext uri="{FF2B5EF4-FFF2-40B4-BE49-F238E27FC236}">
              <a16:creationId xmlns:a16="http://schemas.microsoft.com/office/drawing/2014/main" id="{F8A5E518-144D-47A9-AA39-56573B4BA6DC}"/>
            </a:ext>
          </a:extLst>
        </xdr:cNvPr>
        <xdr:cNvGrpSpPr>
          <a:grpSpLocks/>
        </xdr:cNvGrpSpPr>
      </xdr:nvGrpSpPr>
      <xdr:grpSpPr bwMode="auto">
        <a:xfrm>
          <a:off x="0" y="0"/>
          <a:ext cx="6375924" cy="1279559"/>
          <a:chOff x="57150" y="47625"/>
          <a:chExt cx="6316603" cy="1200288"/>
        </a:xfrm>
      </xdr:grpSpPr>
      <xdr:pic>
        <xdr:nvPicPr>
          <xdr:cNvPr id="16" name="1 Imagen" descr="ESCUDO-transp-lema-blanco.png">
            <a:extLst>
              <a:ext uri="{FF2B5EF4-FFF2-40B4-BE49-F238E27FC236}">
                <a16:creationId xmlns:a16="http://schemas.microsoft.com/office/drawing/2014/main" id="{0B597294-DF5C-4692-AE6A-2CCFE7DEC1DD}"/>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7" name="3 CuadroTexto">
            <a:extLst>
              <a:ext uri="{FF2B5EF4-FFF2-40B4-BE49-F238E27FC236}">
                <a16:creationId xmlns:a16="http://schemas.microsoft.com/office/drawing/2014/main" id="{4F6354E1-D076-491A-8B92-D163C729AAED}"/>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2</xdr:col>
      <xdr:colOff>533401</xdr:colOff>
      <xdr:row>60</xdr:row>
      <xdr:rowOff>106680</xdr:rowOff>
    </xdr:from>
    <xdr:to>
      <xdr:col>2</xdr:col>
      <xdr:colOff>2019430</xdr:colOff>
      <xdr:row>62</xdr:row>
      <xdr:rowOff>22884</xdr:rowOff>
    </xdr:to>
    <xdr:pic>
      <xdr:nvPicPr>
        <xdr:cNvPr id="18" name="Imagen 17">
          <a:extLst>
            <a:ext uri="{FF2B5EF4-FFF2-40B4-BE49-F238E27FC236}">
              <a16:creationId xmlns:a16="http://schemas.microsoft.com/office/drawing/2014/main" id="{80A117CF-2801-4B05-AE2F-C57F474223D6}"/>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4451" y="19185255"/>
          <a:ext cx="129" cy="57074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19" name="1 Grupo">
          <a:extLst>
            <a:ext uri="{FF2B5EF4-FFF2-40B4-BE49-F238E27FC236}">
              <a16:creationId xmlns:a16="http://schemas.microsoft.com/office/drawing/2014/main" id="{ADF3F22D-AB49-4B8B-994E-40FFF5CB71B0}"/>
            </a:ext>
          </a:extLst>
        </xdr:cNvPr>
        <xdr:cNvGrpSpPr>
          <a:grpSpLocks/>
        </xdr:cNvGrpSpPr>
      </xdr:nvGrpSpPr>
      <xdr:grpSpPr bwMode="auto">
        <a:xfrm>
          <a:off x="0" y="0"/>
          <a:ext cx="6375924" cy="1279559"/>
          <a:chOff x="57150" y="47625"/>
          <a:chExt cx="6316603" cy="1200288"/>
        </a:xfrm>
      </xdr:grpSpPr>
      <xdr:pic>
        <xdr:nvPicPr>
          <xdr:cNvPr id="20" name="1 Imagen" descr="ESCUDO-transp-lema-blanco.png">
            <a:extLst>
              <a:ext uri="{FF2B5EF4-FFF2-40B4-BE49-F238E27FC236}">
                <a16:creationId xmlns:a16="http://schemas.microsoft.com/office/drawing/2014/main" id="{F5988ED8-9D22-4EDE-881F-B4CC0F608662}"/>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21" name="3 CuadroTexto">
            <a:extLst>
              <a:ext uri="{FF2B5EF4-FFF2-40B4-BE49-F238E27FC236}">
                <a16:creationId xmlns:a16="http://schemas.microsoft.com/office/drawing/2014/main" id="{D2422D0E-1608-4285-8EE2-89E08C8F0AC9}"/>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22" name="1 Grupo">
          <a:extLst>
            <a:ext uri="{FF2B5EF4-FFF2-40B4-BE49-F238E27FC236}">
              <a16:creationId xmlns:a16="http://schemas.microsoft.com/office/drawing/2014/main" id="{5CA1F162-08DE-4D21-8615-6CC556BE07C3}"/>
            </a:ext>
          </a:extLst>
        </xdr:cNvPr>
        <xdr:cNvGrpSpPr>
          <a:grpSpLocks/>
        </xdr:cNvGrpSpPr>
      </xdr:nvGrpSpPr>
      <xdr:grpSpPr bwMode="auto">
        <a:xfrm>
          <a:off x="0" y="0"/>
          <a:ext cx="6375924" cy="1279559"/>
          <a:chOff x="57150" y="47625"/>
          <a:chExt cx="6316603" cy="1200288"/>
        </a:xfrm>
      </xdr:grpSpPr>
      <xdr:pic>
        <xdr:nvPicPr>
          <xdr:cNvPr id="23" name="1 Imagen" descr="ESCUDO-transp-lema-blanco.png">
            <a:extLst>
              <a:ext uri="{FF2B5EF4-FFF2-40B4-BE49-F238E27FC236}">
                <a16:creationId xmlns:a16="http://schemas.microsoft.com/office/drawing/2014/main" id="{20E6F1E4-68B2-4AEA-A4E2-9FD25C0ED9AB}"/>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24" name="3 CuadroTexto">
            <a:extLst>
              <a:ext uri="{FF2B5EF4-FFF2-40B4-BE49-F238E27FC236}">
                <a16:creationId xmlns:a16="http://schemas.microsoft.com/office/drawing/2014/main" id="{86AF80B3-2F80-4A0E-A36D-49A9B32C5522}"/>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25" name="1 Grupo">
          <a:extLst>
            <a:ext uri="{FF2B5EF4-FFF2-40B4-BE49-F238E27FC236}">
              <a16:creationId xmlns:a16="http://schemas.microsoft.com/office/drawing/2014/main" id="{32ECF275-F888-4B8F-9ADC-5D62D61F378C}"/>
            </a:ext>
          </a:extLst>
        </xdr:cNvPr>
        <xdr:cNvGrpSpPr>
          <a:grpSpLocks/>
        </xdr:cNvGrpSpPr>
      </xdr:nvGrpSpPr>
      <xdr:grpSpPr bwMode="auto">
        <a:xfrm>
          <a:off x="0" y="0"/>
          <a:ext cx="6375924" cy="1279559"/>
          <a:chOff x="57150" y="47625"/>
          <a:chExt cx="6316603" cy="1200288"/>
        </a:xfrm>
      </xdr:grpSpPr>
      <xdr:pic>
        <xdr:nvPicPr>
          <xdr:cNvPr id="26" name="1 Imagen" descr="ESCUDO-transp-lema-blanco.png">
            <a:extLst>
              <a:ext uri="{FF2B5EF4-FFF2-40B4-BE49-F238E27FC236}">
                <a16:creationId xmlns:a16="http://schemas.microsoft.com/office/drawing/2014/main" id="{0E82105B-DA35-4F19-923E-8420DDACD939}"/>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27" name="3 CuadroTexto">
            <a:extLst>
              <a:ext uri="{FF2B5EF4-FFF2-40B4-BE49-F238E27FC236}">
                <a16:creationId xmlns:a16="http://schemas.microsoft.com/office/drawing/2014/main" id="{9D79400A-A845-43F6-AF55-C88DC69402F3}"/>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28" name="1 Grupo">
          <a:extLst>
            <a:ext uri="{FF2B5EF4-FFF2-40B4-BE49-F238E27FC236}">
              <a16:creationId xmlns:a16="http://schemas.microsoft.com/office/drawing/2014/main" id="{89251A71-50D0-413A-900E-659B00DC5226}"/>
            </a:ext>
          </a:extLst>
        </xdr:cNvPr>
        <xdr:cNvGrpSpPr>
          <a:grpSpLocks/>
        </xdr:cNvGrpSpPr>
      </xdr:nvGrpSpPr>
      <xdr:grpSpPr bwMode="auto">
        <a:xfrm>
          <a:off x="0" y="0"/>
          <a:ext cx="6375924" cy="1279559"/>
          <a:chOff x="57150" y="47625"/>
          <a:chExt cx="6316603" cy="1200288"/>
        </a:xfrm>
      </xdr:grpSpPr>
      <xdr:pic>
        <xdr:nvPicPr>
          <xdr:cNvPr id="29" name="1 Imagen" descr="ESCUDO-transp-lema-blanco.png">
            <a:extLst>
              <a:ext uri="{FF2B5EF4-FFF2-40B4-BE49-F238E27FC236}">
                <a16:creationId xmlns:a16="http://schemas.microsoft.com/office/drawing/2014/main" id="{B2C0D06D-D809-4829-A950-9F391022FDE6}"/>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30" name="3 CuadroTexto">
            <a:extLst>
              <a:ext uri="{FF2B5EF4-FFF2-40B4-BE49-F238E27FC236}">
                <a16:creationId xmlns:a16="http://schemas.microsoft.com/office/drawing/2014/main" id="{C9C06302-898B-4159-8F22-B10FD0B568C8}"/>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31" name="1 Grupo">
          <a:extLst>
            <a:ext uri="{FF2B5EF4-FFF2-40B4-BE49-F238E27FC236}">
              <a16:creationId xmlns:a16="http://schemas.microsoft.com/office/drawing/2014/main" id="{9B8FA14A-2859-4A08-9BE2-DEEEF061541F}"/>
            </a:ext>
          </a:extLst>
        </xdr:cNvPr>
        <xdr:cNvGrpSpPr>
          <a:grpSpLocks/>
        </xdr:cNvGrpSpPr>
      </xdr:nvGrpSpPr>
      <xdr:grpSpPr bwMode="auto">
        <a:xfrm>
          <a:off x="0" y="0"/>
          <a:ext cx="6375924" cy="1279559"/>
          <a:chOff x="57150" y="47625"/>
          <a:chExt cx="6316603" cy="1200288"/>
        </a:xfrm>
      </xdr:grpSpPr>
      <xdr:pic>
        <xdr:nvPicPr>
          <xdr:cNvPr id="32" name="1 Imagen" descr="ESCUDO-transp-lema-blanco.png">
            <a:extLst>
              <a:ext uri="{FF2B5EF4-FFF2-40B4-BE49-F238E27FC236}">
                <a16:creationId xmlns:a16="http://schemas.microsoft.com/office/drawing/2014/main" id="{D1EC9675-5A0E-4C89-B6FC-87AF8DFF5605}"/>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33" name="3 CuadroTexto">
            <a:extLst>
              <a:ext uri="{FF2B5EF4-FFF2-40B4-BE49-F238E27FC236}">
                <a16:creationId xmlns:a16="http://schemas.microsoft.com/office/drawing/2014/main" id="{31B97C8B-E151-4E00-A0FD-2854629147FB}"/>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2</xdr:col>
      <xdr:colOff>533401</xdr:colOff>
      <xdr:row>60</xdr:row>
      <xdr:rowOff>106680</xdr:rowOff>
    </xdr:from>
    <xdr:to>
      <xdr:col>2</xdr:col>
      <xdr:colOff>2019430</xdr:colOff>
      <xdr:row>62</xdr:row>
      <xdr:rowOff>22884</xdr:rowOff>
    </xdr:to>
    <xdr:pic>
      <xdr:nvPicPr>
        <xdr:cNvPr id="34" name="Imagen 33">
          <a:extLst>
            <a:ext uri="{FF2B5EF4-FFF2-40B4-BE49-F238E27FC236}">
              <a16:creationId xmlns:a16="http://schemas.microsoft.com/office/drawing/2014/main" id="{CEEFDE7D-CFF4-4E53-9315-3CAF768320EC}"/>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56361" y="17556480"/>
          <a:ext cx="129" cy="46406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5" name="1 Grupo">
          <a:extLst>
            <a:ext uri="{FF2B5EF4-FFF2-40B4-BE49-F238E27FC236}">
              <a16:creationId xmlns:a16="http://schemas.microsoft.com/office/drawing/2014/main" id="{F2B5F9E3-BCA2-47C5-BA6E-D69CB8726107}"/>
            </a:ext>
          </a:extLst>
        </xdr:cNvPr>
        <xdr:cNvGrpSpPr>
          <a:grpSpLocks/>
        </xdr:cNvGrpSpPr>
      </xdr:nvGrpSpPr>
      <xdr:grpSpPr bwMode="auto">
        <a:xfrm>
          <a:off x="0" y="0"/>
          <a:ext cx="6375924" cy="1279559"/>
          <a:chOff x="57150" y="47625"/>
          <a:chExt cx="6316603" cy="1200288"/>
        </a:xfrm>
      </xdr:grpSpPr>
      <xdr:pic>
        <xdr:nvPicPr>
          <xdr:cNvPr id="36" name="1 Imagen" descr="ESCUDO-transp-lema-blanco.png">
            <a:extLst>
              <a:ext uri="{FF2B5EF4-FFF2-40B4-BE49-F238E27FC236}">
                <a16:creationId xmlns:a16="http://schemas.microsoft.com/office/drawing/2014/main" id="{E6D692B8-F442-5113-FBB9-E9D0C2A90929}"/>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37" name="3 CuadroTexto">
            <a:extLst>
              <a:ext uri="{FF2B5EF4-FFF2-40B4-BE49-F238E27FC236}">
                <a16:creationId xmlns:a16="http://schemas.microsoft.com/office/drawing/2014/main" id="{3CD23AE9-2297-BCA3-3E7F-A8595FA38A9F}"/>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38" name="1 Grupo">
          <a:extLst>
            <a:ext uri="{FF2B5EF4-FFF2-40B4-BE49-F238E27FC236}">
              <a16:creationId xmlns:a16="http://schemas.microsoft.com/office/drawing/2014/main" id="{37E803CE-26F9-4C17-BF99-0EDCDAE965E8}"/>
            </a:ext>
          </a:extLst>
        </xdr:cNvPr>
        <xdr:cNvGrpSpPr>
          <a:grpSpLocks/>
        </xdr:cNvGrpSpPr>
      </xdr:nvGrpSpPr>
      <xdr:grpSpPr bwMode="auto">
        <a:xfrm>
          <a:off x="0" y="0"/>
          <a:ext cx="6375924" cy="1279559"/>
          <a:chOff x="57150" y="47625"/>
          <a:chExt cx="6316603" cy="1200288"/>
        </a:xfrm>
      </xdr:grpSpPr>
      <xdr:pic>
        <xdr:nvPicPr>
          <xdr:cNvPr id="39" name="1 Imagen" descr="ESCUDO-transp-lema-blanco.png">
            <a:extLst>
              <a:ext uri="{FF2B5EF4-FFF2-40B4-BE49-F238E27FC236}">
                <a16:creationId xmlns:a16="http://schemas.microsoft.com/office/drawing/2014/main" id="{68EBBBD2-C144-711C-CD59-DCA35A8D4B94}"/>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40" name="3 CuadroTexto">
            <a:extLst>
              <a:ext uri="{FF2B5EF4-FFF2-40B4-BE49-F238E27FC236}">
                <a16:creationId xmlns:a16="http://schemas.microsoft.com/office/drawing/2014/main" id="{AC218961-EA57-C6BC-C398-C04FEF3B74AA}"/>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41" name="1 Grupo">
          <a:extLst>
            <a:ext uri="{FF2B5EF4-FFF2-40B4-BE49-F238E27FC236}">
              <a16:creationId xmlns:a16="http://schemas.microsoft.com/office/drawing/2014/main" id="{AC282486-C9EF-466E-9AF2-1AEB00AA73F0}"/>
            </a:ext>
          </a:extLst>
        </xdr:cNvPr>
        <xdr:cNvGrpSpPr>
          <a:grpSpLocks/>
        </xdr:cNvGrpSpPr>
      </xdr:nvGrpSpPr>
      <xdr:grpSpPr bwMode="auto">
        <a:xfrm>
          <a:off x="0" y="0"/>
          <a:ext cx="6375924" cy="1279559"/>
          <a:chOff x="57150" y="47625"/>
          <a:chExt cx="6316603" cy="1200288"/>
        </a:xfrm>
      </xdr:grpSpPr>
      <xdr:pic>
        <xdr:nvPicPr>
          <xdr:cNvPr id="42" name="1 Imagen" descr="ESCUDO-transp-lema-blanco.png">
            <a:extLst>
              <a:ext uri="{FF2B5EF4-FFF2-40B4-BE49-F238E27FC236}">
                <a16:creationId xmlns:a16="http://schemas.microsoft.com/office/drawing/2014/main" id="{F6D83A0A-D0DC-620C-0099-E1D1E347F0B5}"/>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43" name="3 CuadroTexto">
            <a:extLst>
              <a:ext uri="{FF2B5EF4-FFF2-40B4-BE49-F238E27FC236}">
                <a16:creationId xmlns:a16="http://schemas.microsoft.com/office/drawing/2014/main" id="{FF4C2DB6-108B-4DC4-BE68-F6B5D864916D}"/>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44" name="1 Grupo">
          <a:extLst>
            <a:ext uri="{FF2B5EF4-FFF2-40B4-BE49-F238E27FC236}">
              <a16:creationId xmlns:a16="http://schemas.microsoft.com/office/drawing/2014/main" id="{9C2AAAF1-B4B6-42DD-8D42-D17B654BD315}"/>
            </a:ext>
          </a:extLst>
        </xdr:cNvPr>
        <xdr:cNvGrpSpPr>
          <a:grpSpLocks/>
        </xdr:cNvGrpSpPr>
      </xdr:nvGrpSpPr>
      <xdr:grpSpPr bwMode="auto">
        <a:xfrm>
          <a:off x="0" y="0"/>
          <a:ext cx="6375924" cy="1279559"/>
          <a:chOff x="57150" y="47625"/>
          <a:chExt cx="6316603" cy="1200288"/>
        </a:xfrm>
      </xdr:grpSpPr>
      <xdr:pic>
        <xdr:nvPicPr>
          <xdr:cNvPr id="45" name="1 Imagen" descr="ESCUDO-transp-lema-blanco.png">
            <a:extLst>
              <a:ext uri="{FF2B5EF4-FFF2-40B4-BE49-F238E27FC236}">
                <a16:creationId xmlns:a16="http://schemas.microsoft.com/office/drawing/2014/main" id="{5EE2E998-1630-58A0-ED30-3D95A5D33BEB}"/>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46" name="3 CuadroTexto">
            <a:extLst>
              <a:ext uri="{FF2B5EF4-FFF2-40B4-BE49-F238E27FC236}">
                <a16:creationId xmlns:a16="http://schemas.microsoft.com/office/drawing/2014/main" id="{1D501FAA-F0E4-853F-A059-8DF98CEA22BF}"/>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47" name="1 Grupo">
          <a:extLst>
            <a:ext uri="{FF2B5EF4-FFF2-40B4-BE49-F238E27FC236}">
              <a16:creationId xmlns:a16="http://schemas.microsoft.com/office/drawing/2014/main" id="{A6A063A2-7801-48F5-A77F-A6EB1E61127A}"/>
            </a:ext>
          </a:extLst>
        </xdr:cNvPr>
        <xdr:cNvGrpSpPr>
          <a:grpSpLocks/>
        </xdr:cNvGrpSpPr>
      </xdr:nvGrpSpPr>
      <xdr:grpSpPr bwMode="auto">
        <a:xfrm>
          <a:off x="0" y="0"/>
          <a:ext cx="6375924" cy="1279559"/>
          <a:chOff x="57150" y="47625"/>
          <a:chExt cx="6316603" cy="1200288"/>
        </a:xfrm>
      </xdr:grpSpPr>
      <xdr:pic>
        <xdr:nvPicPr>
          <xdr:cNvPr id="48" name="1 Imagen" descr="ESCUDO-transp-lema-blanco.png">
            <a:extLst>
              <a:ext uri="{FF2B5EF4-FFF2-40B4-BE49-F238E27FC236}">
                <a16:creationId xmlns:a16="http://schemas.microsoft.com/office/drawing/2014/main" id="{A8BDA77C-E1F9-6FA0-F652-D1C4255668CA}"/>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49" name="3 CuadroTexto">
            <a:extLst>
              <a:ext uri="{FF2B5EF4-FFF2-40B4-BE49-F238E27FC236}">
                <a16:creationId xmlns:a16="http://schemas.microsoft.com/office/drawing/2014/main" id="{DCAF11A2-64D0-9EB9-3CA9-AB768B7D6FF7}"/>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2</xdr:col>
      <xdr:colOff>533401</xdr:colOff>
      <xdr:row>60</xdr:row>
      <xdr:rowOff>106680</xdr:rowOff>
    </xdr:from>
    <xdr:to>
      <xdr:col>2</xdr:col>
      <xdr:colOff>2019430</xdr:colOff>
      <xdr:row>62</xdr:row>
      <xdr:rowOff>22884</xdr:rowOff>
    </xdr:to>
    <xdr:pic>
      <xdr:nvPicPr>
        <xdr:cNvPr id="50" name="Imagen 49">
          <a:extLst>
            <a:ext uri="{FF2B5EF4-FFF2-40B4-BE49-F238E27FC236}">
              <a16:creationId xmlns:a16="http://schemas.microsoft.com/office/drawing/2014/main" id="{68F46CF9-1DA5-4BFE-AB6B-C6DDAD98E2CD}"/>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56361" y="17556480"/>
          <a:ext cx="129" cy="46406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51" name="1 Grupo">
          <a:extLst>
            <a:ext uri="{FF2B5EF4-FFF2-40B4-BE49-F238E27FC236}">
              <a16:creationId xmlns:a16="http://schemas.microsoft.com/office/drawing/2014/main" id="{08E91AE6-A2D3-47F1-8B7E-58637334AE10}"/>
            </a:ext>
          </a:extLst>
        </xdr:cNvPr>
        <xdr:cNvGrpSpPr>
          <a:grpSpLocks/>
        </xdr:cNvGrpSpPr>
      </xdr:nvGrpSpPr>
      <xdr:grpSpPr bwMode="auto">
        <a:xfrm>
          <a:off x="0" y="0"/>
          <a:ext cx="6375924" cy="1279559"/>
          <a:chOff x="57150" y="47625"/>
          <a:chExt cx="6316603" cy="1200288"/>
        </a:xfrm>
      </xdr:grpSpPr>
      <xdr:pic>
        <xdr:nvPicPr>
          <xdr:cNvPr id="52" name="1 Imagen" descr="ESCUDO-transp-lema-blanco.png">
            <a:extLst>
              <a:ext uri="{FF2B5EF4-FFF2-40B4-BE49-F238E27FC236}">
                <a16:creationId xmlns:a16="http://schemas.microsoft.com/office/drawing/2014/main" id="{B2303AD1-F6B0-2CDE-3D6C-5C406AD7570F}"/>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3" name="3 CuadroTexto">
            <a:extLst>
              <a:ext uri="{FF2B5EF4-FFF2-40B4-BE49-F238E27FC236}">
                <a16:creationId xmlns:a16="http://schemas.microsoft.com/office/drawing/2014/main" id="{FF58D176-AC85-623D-6E29-AD0961F225F4}"/>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54" name="1 Grupo">
          <a:extLst>
            <a:ext uri="{FF2B5EF4-FFF2-40B4-BE49-F238E27FC236}">
              <a16:creationId xmlns:a16="http://schemas.microsoft.com/office/drawing/2014/main" id="{92DC2153-8618-4880-909C-9CBC7F09D154}"/>
            </a:ext>
          </a:extLst>
        </xdr:cNvPr>
        <xdr:cNvGrpSpPr>
          <a:grpSpLocks/>
        </xdr:cNvGrpSpPr>
      </xdr:nvGrpSpPr>
      <xdr:grpSpPr bwMode="auto">
        <a:xfrm>
          <a:off x="0" y="0"/>
          <a:ext cx="6375924" cy="1279559"/>
          <a:chOff x="57150" y="47625"/>
          <a:chExt cx="6316603" cy="1200288"/>
        </a:xfrm>
      </xdr:grpSpPr>
      <xdr:pic>
        <xdr:nvPicPr>
          <xdr:cNvPr id="55" name="1 Imagen" descr="ESCUDO-transp-lema-blanco.png">
            <a:extLst>
              <a:ext uri="{FF2B5EF4-FFF2-40B4-BE49-F238E27FC236}">
                <a16:creationId xmlns:a16="http://schemas.microsoft.com/office/drawing/2014/main" id="{A17A26B9-D8A4-2EE9-BF6F-1B237B72862C}"/>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6" name="3 CuadroTexto">
            <a:extLst>
              <a:ext uri="{FF2B5EF4-FFF2-40B4-BE49-F238E27FC236}">
                <a16:creationId xmlns:a16="http://schemas.microsoft.com/office/drawing/2014/main" id="{50CCC5BC-F12A-C983-6537-243422087309}"/>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57" name="1 Grupo">
          <a:extLst>
            <a:ext uri="{FF2B5EF4-FFF2-40B4-BE49-F238E27FC236}">
              <a16:creationId xmlns:a16="http://schemas.microsoft.com/office/drawing/2014/main" id="{C94668CA-162A-405F-9817-AF7AC2DB2525}"/>
            </a:ext>
          </a:extLst>
        </xdr:cNvPr>
        <xdr:cNvGrpSpPr>
          <a:grpSpLocks/>
        </xdr:cNvGrpSpPr>
      </xdr:nvGrpSpPr>
      <xdr:grpSpPr bwMode="auto">
        <a:xfrm>
          <a:off x="0" y="0"/>
          <a:ext cx="6375924" cy="1279559"/>
          <a:chOff x="57150" y="47625"/>
          <a:chExt cx="6316603" cy="1200288"/>
        </a:xfrm>
      </xdr:grpSpPr>
      <xdr:pic>
        <xdr:nvPicPr>
          <xdr:cNvPr id="58" name="1 Imagen" descr="ESCUDO-transp-lema-blanco.png">
            <a:extLst>
              <a:ext uri="{FF2B5EF4-FFF2-40B4-BE49-F238E27FC236}">
                <a16:creationId xmlns:a16="http://schemas.microsoft.com/office/drawing/2014/main" id="{721184D4-77B1-3CC5-A3D7-F8A4C15B58DE}"/>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9" name="3 CuadroTexto">
            <a:extLst>
              <a:ext uri="{FF2B5EF4-FFF2-40B4-BE49-F238E27FC236}">
                <a16:creationId xmlns:a16="http://schemas.microsoft.com/office/drawing/2014/main" id="{AA8CD51C-279D-EAB6-04E5-047595730848}"/>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60" name="1 Grupo">
          <a:extLst>
            <a:ext uri="{FF2B5EF4-FFF2-40B4-BE49-F238E27FC236}">
              <a16:creationId xmlns:a16="http://schemas.microsoft.com/office/drawing/2014/main" id="{9AEE7BD0-19C8-4BFC-B58B-6AABEBFCF20F}"/>
            </a:ext>
          </a:extLst>
        </xdr:cNvPr>
        <xdr:cNvGrpSpPr>
          <a:grpSpLocks/>
        </xdr:cNvGrpSpPr>
      </xdr:nvGrpSpPr>
      <xdr:grpSpPr bwMode="auto">
        <a:xfrm>
          <a:off x="0" y="0"/>
          <a:ext cx="6375924" cy="1279559"/>
          <a:chOff x="57150" y="47625"/>
          <a:chExt cx="6316603" cy="1200288"/>
        </a:xfrm>
      </xdr:grpSpPr>
      <xdr:pic>
        <xdr:nvPicPr>
          <xdr:cNvPr id="61" name="1 Imagen" descr="ESCUDO-transp-lema-blanco.png">
            <a:extLst>
              <a:ext uri="{FF2B5EF4-FFF2-40B4-BE49-F238E27FC236}">
                <a16:creationId xmlns:a16="http://schemas.microsoft.com/office/drawing/2014/main" id="{7685061C-05EF-4D60-FFD7-B0F5209C7468}"/>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2" name="3 CuadroTexto">
            <a:extLst>
              <a:ext uri="{FF2B5EF4-FFF2-40B4-BE49-F238E27FC236}">
                <a16:creationId xmlns:a16="http://schemas.microsoft.com/office/drawing/2014/main" id="{B8428A24-E01E-8BD3-C10D-DD6063A5302A}"/>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63" name="1 Grupo">
          <a:extLst>
            <a:ext uri="{FF2B5EF4-FFF2-40B4-BE49-F238E27FC236}">
              <a16:creationId xmlns:a16="http://schemas.microsoft.com/office/drawing/2014/main" id="{12C7F54B-0986-4ADB-8160-04E57E66B8BD}"/>
            </a:ext>
          </a:extLst>
        </xdr:cNvPr>
        <xdr:cNvGrpSpPr>
          <a:grpSpLocks/>
        </xdr:cNvGrpSpPr>
      </xdr:nvGrpSpPr>
      <xdr:grpSpPr bwMode="auto">
        <a:xfrm>
          <a:off x="0" y="0"/>
          <a:ext cx="6375924" cy="1279559"/>
          <a:chOff x="57150" y="47625"/>
          <a:chExt cx="6316603" cy="1200288"/>
        </a:xfrm>
      </xdr:grpSpPr>
      <xdr:pic>
        <xdr:nvPicPr>
          <xdr:cNvPr id="64" name="1 Imagen" descr="ESCUDO-transp-lema-blanco.png">
            <a:extLst>
              <a:ext uri="{FF2B5EF4-FFF2-40B4-BE49-F238E27FC236}">
                <a16:creationId xmlns:a16="http://schemas.microsoft.com/office/drawing/2014/main" id="{90204942-55F9-6953-4089-D038CC4AEDF6}"/>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5" name="3 CuadroTexto">
            <a:extLst>
              <a:ext uri="{FF2B5EF4-FFF2-40B4-BE49-F238E27FC236}">
                <a16:creationId xmlns:a16="http://schemas.microsoft.com/office/drawing/2014/main" id="{EB75379D-F45C-8714-EC24-98F16143A4F2}"/>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xdr:colOff>
      <xdr:row>0</xdr:row>
      <xdr:rowOff>0</xdr:rowOff>
    </xdr:from>
    <xdr:to>
      <xdr:col>6</xdr:col>
      <xdr:colOff>0</xdr:colOff>
      <xdr:row>1</xdr:row>
      <xdr:rowOff>0</xdr:rowOff>
    </xdr:to>
    <xdr:grpSp>
      <xdr:nvGrpSpPr>
        <xdr:cNvPr id="2" name="1 Grupo">
          <a:extLst>
            <a:ext uri="{FF2B5EF4-FFF2-40B4-BE49-F238E27FC236}">
              <a16:creationId xmlns:a16="http://schemas.microsoft.com/office/drawing/2014/main" id="{84339AD4-E33A-470D-880A-1A2C84FD203C}"/>
            </a:ext>
          </a:extLst>
        </xdr:cNvPr>
        <xdr:cNvGrpSpPr>
          <a:grpSpLocks/>
        </xdr:cNvGrpSpPr>
      </xdr:nvGrpSpPr>
      <xdr:grpSpPr bwMode="auto">
        <a:xfrm>
          <a:off x="2" y="0"/>
          <a:ext cx="10523218" cy="1653540"/>
          <a:chOff x="57151" y="47625"/>
          <a:chExt cx="6181724" cy="1581150"/>
        </a:xfrm>
      </xdr:grpSpPr>
      <xdr:pic>
        <xdr:nvPicPr>
          <xdr:cNvPr id="3" name="1 Imagen" descr="ESCUDO-transp-lema-blanco.png">
            <a:extLst>
              <a:ext uri="{FF2B5EF4-FFF2-40B4-BE49-F238E27FC236}">
                <a16:creationId xmlns:a16="http://schemas.microsoft.com/office/drawing/2014/main" id="{FD752F1F-F8BB-4E47-8D3B-F5AB03986149}"/>
              </a:ext>
            </a:extLst>
          </xdr:cNvPr>
          <xdr:cNvPicPr>
            <a:picLocks noChangeAspect="1"/>
          </xdr:cNvPicPr>
        </xdr:nvPicPr>
        <xdr:blipFill>
          <a:blip xmlns:r="http://schemas.openxmlformats.org/officeDocument/2006/relationships" r:embed="rId1" cstate="print"/>
          <a:srcRect/>
          <a:stretch>
            <a:fillRect/>
          </a:stretch>
        </xdr:blipFill>
        <xdr:spPr bwMode="auto">
          <a:xfrm>
            <a:off x="57151" y="47625"/>
            <a:ext cx="850209" cy="1581150"/>
          </a:xfrm>
          <a:prstGeom prst="rect">
            <a:avLst/>
          </a:prstGeom>
          <a:noFill/>
          <a:ln w="9525">
            <a:noFill/>
            <a:miter lim="800000"/>
            <a:headEnd/>
            <a:tailEnd/>
          </a:ln>
        </xdr:spPr>
      </xdr:pic>
      <xdr:sp macro="" textlink="">
        <xdr:nvSpPr>
          <xdr:cNvPr id="4" name="3 CuadroTexto">
            <a:extLst>
              <a:ext uri="{FF2B5EF4-FFF2-40B4-BE49-F238E27FC236}">
                <a16:creationId xmlns:a16="http://schemas.microsoft.com/office/drawing/2014/main" id="{853EA85F-550B-4BBE-B493-DE6B1024BD72}"/>
              </a:ext>
            </a:extLst>
          </xdr:cNvPr>
          <xdr:cNvSpPr txBox="1"/>
        </xdr:nvSpPr>
        <xdr:spPr>
          <a:xfrm>
            <a:off x="1426640" y="495300"/>
            <a:ext cx="4812235"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3</xdr:col>
      <xdr:colOff>2916</xdr:colOff>
      <xdr:row>73</xdr:row>
      <xdr:rowOff>91440</xdr:rowOff>
    </xdr:from>
    <xdr:to>
      <xdr:col>3</xdr:col>
      <xdr:colOff>4949</xdr:colOff>
      <xdr:row>74</xdr:row>
      <xdr:rowOff>175283</xdr:rowOff>
    </xdr:to>
    <xdr:pic>
      <xdr:nvPicPr>
        <xdr:cNvPr id="2" name="Imagen 1">
          <a:extLst>
            <a:ext uri="{FF2B5EF4-FFF2-40B4-BE49-F238E27FC236}">
              <a16:creationId xmlns:a16="http://schemas.microsoft.com/office/drawing/2014/main" id="{00000000-0008-0000-20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5033" y="37773506"/>
          <a:ext cx="2033" cy="3948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2000-000003000000}"/>
            </a:ext>
          </a:extLst>
        </xdr:cNvPr>
        <xdr:cNvGrpSpPr>
          <a:grpSpLocks/>
        </xdr:cNvGrpSpPr>
      </xdr:nvGrpSpPr>
      <xdr:grpSpPr bwMode="auto">
        <a:xfrm>
          <a:off x="0" y="0"/>
          <a:ext cx="6259291" cy="1279559"/>
          <a:chOff x="57150" y="47625"/>
          <a:chExt cx="6316603" cy="1200288"/>
        </a:xfrm>
      </xdr:grpSpPr>
      <xdr:pic>
        <xdr:nvPicPr>
          <xdr:cNvPr id="4" name="1 Imagen" descr="ESCUDO-transp-lema-blanco.png">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20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6" name="1 Grupo">
          <a:extLst>
            <a:ext uri="{FF2B5EF4-FFF2-40B4-BE49-F238E27FC236}">
              <a16:creationId xmlns:a16="http://schemas.microsoft.com/office/drawing/2014/main" id="{2140B3AC-463E-41D0-93AC-9CB56609E13D}"/>
            </a:ext>
          </a:extLst>
        </xdr:cNvPr>
        <xdr:cNvGrpSpPr>
          <a:grpSpLocks/>
        </xdr:cNvGrpSpPr>
      </xdr:nvGrpSpPr>
      <xdr:grpSpPr bwMode="auto">
        <a:xfrm>
          <a:off x="0" y="0"/>
          <a:ext cx="6259291" cy="1279559"/>
          <a:chOff x="57150" y="47625"/>
          <a:chExt cx="6316603" cy="1200288"/>
        </a:xfrm>
      </xdr:grpSpPr>
      <xdr:pic>
        <xdr:nvPicPr>
          <xdr:cNvPr id="7" name="1 Imagen" descr="ESCUDO-transp-lema-blanco.png">
            <a:extLst>
              <a:ext uri="{FF2B5EF4-FFF2-40B4-BE49-F238E27FC236}">
                <a16:creationId xmlns:a16="http://schemas.microsoft.com/office/drawing/2014/main" id="{B61B7247-1558-4038-B481-BD6E3F8D4B29}"/>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8" name="3 CuadroTexto">
            <a:extLst>
              <a:ext uri="{FF2B5EF4-FFF2-40B4-BE49-F238E27FC236}">
                <a16:creationId xmlns:a16="http://schemas.microsoft.com/office/drawing/2014/main" id="{DCAA3CFF-EE7A-40BF-A120-3FAFE4647B1F}"/>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9" name="1 Grupo">
          <a:extLst>
            <a:ext uri="{FF2B5EF4-FFF2-40B4-BE49-F238E27FC236}">
              <a16:creationId xmlns:a16="http://schemas.microsoft.com/office/drawing/2014/main" id="{1AB5B3AD-88FD-49DE-95FE-E70FE9F44D1A}"/>
            </a:ext>
          </a:extLst>
        </xdr:cNvPr>
        <xdr:cNvGrpSpPr>
          <a:grpSpLocks/>
        </xdr:cNvGrpSpPr>
      </xdr:nvGrpSpPr>
      <xdr:grpSpPr bwMode="auto">
        <a:xfrm>
          <a:off x="0" y="0"/>
          <a:ext cx="6259291" cy="1279559"/>
          <a:chOff x="57150" y="47625"/>
          <a:chExt cx="6316603" cy="1200288"/>
        </a:xfrm>
      </xdr:grpSpPr>
      <xdr:pic>
        <xdr:nvPicPr>
          <xdr:cNvPr id="10" name="1 Imagen" descr="ESCUDO-transp-lema-blanco.png">
            <a:extLst>
              <a:ext uri="{FF2B5EF4-FFF2-40B4-BE49-F238E27FC236}">
                <a16:creationId xmlns:a16="http://schemas.microsoft.com/office/drawing/2014/main" id="{054E5C3A-D8E7-48D2-90D0-9BB095332249}"/>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1" name="3 CuadroTexto">
            <a:extLst>
              <a:ext uri="{FF2B5EF4-FFF2-40B4-BE49-F238E27FC236}">
                <a16:creationId xmlns:a16="http://schemas.microsoft.com/office/drawing/2014/main" id="{79B1640F-F50B-4AC0-8DD3-02070C32F8DF}"/>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2" name="1 Grupo">
          <a:extLst>
            <a:ext uri="{FF2B5EF4-FFF2-40B4-BE49-F238E27FC236}">
              <a16:creationId xmlns:a16="http://schemas.microsoft.com/office/drawing/2014/main" id="{D8458BB0-F3AB-4B34-85EB-49155E1E5F74}"/>
            </a:ext>
          </a:extLst>
        </xdr:cNvPr>
        <xdr:cNvGrpSpPr>
          <a:grpSpLocks/>
        </xdr:cNvGrpSpPr>
      </xdr:nvGrpSpPr>
      <xdr:grpSpPr bwMode="auto">
        <a:xfrm>
          <a:off x="0" y="0"/>
          <a:ext cx="6259291" cy="1279559"/>
          <a:chOff x="57150" y="47625"/>
          <a:chExt cx="6316603" cy="1200288"/>
        </a:xfrm>
      </xdr:grpSpPr>
      <xdr:pic>
        <xdr:nvPicPr>
          <xdr:cNvPr id="13" name="1 Imagen" descr="ESCUDO-transp-lema-blanco.png">
            <a:extLst>
              <a:ext uri="{FF2B5EF4-FFF2-40B4-BE49-F238E27FC236}">
                <a16:creationId xmlns:a16="http://schemas.microsoft.com/office/drawing/2014/main" id="{64C588DE-F097-46C6-B533-9ADFC3D3A92D}"/>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4" name="3 CuadroTexto">
            <a:extLst>
              <a:ext uri="{FF2B5EF4-FFF2-40B4-BE49-F238E27FC236}">
                <a16:creationId xmlns:a16="http://schemas.microsoft.com/office/drawing/2014/main" id="{94A56EE1-A8AC-409C-92E9-385F4A871F6C}"/>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5" name="1 Grupo">
          <a:extLst>
            <a:ext uri="{FF2B5EF4-FFF2-40B4-BE49-F238E27FC236}">
              <a16:creationId xmlns:a16="http://schemas.microsoft.com/office/drawing/2014/main" id="{C55AFA8B-9828-40DB-BBF9-2AC598A51853}"/>
            </a:ext>
          </a:extLst>
        </xdr:cNvPr>
        <xdr:cNvGrpSpPr>
          <a:grpSpLocks/>
        </xdr:cNvGrpSpPr>
      </xdr:nvGrpSpPr>
      <xdr:grpSpPr bwMode="auto">
        <a:xfrm>
          <a:off x="0" y="0"/>
          <a:ext cx="6259291" cy="1279559"/>
          <a:chOff x="57150" y="47625"/>
          <a:chExt cx="6316603" cy="1200288"/>
        </a:xfrm>
      </xdr:grpSpPr>
      <xdr:pic>
        <xdr:nvPicPr>
          <xdr:cNvPr id="16" name="1 Imagen" descr="ESCUDO-transp-lema-blanco.png">
            <a:extLst>
              <a:ext uri="{FF2B5EF4-FFF2-40B4-BE49-F238E27FC236}">
                <a16:creationId xmlns:a16="http://schemas.microsoft.com/office/drawing/2014/main" id="{CE7B0601-FA80-4899-B3E6-4CDACD1108D3}"/>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7" name="3 CuadroTexto">
            <a:extLst>
              <a:ext uri="{FF2B5EF4-FFF2-40B4-BE49-F238E27FC236}">
                <a16:creationId xmlns:a16="http://schemas.microsoft.com/office/drawing/2014/main" id="{5EF6A621-5FD2-449B-8E1F-9BF2E82A385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8" name="1 Grupo">
          <a:extLst>
            <a:ext uri="{FF2B5EF4-FFF2-40B4-BE49-F238E27FC236}">
              <a16:creationId xmlns:a16="http://schemas.microsoft.com/office/drawing/2014/main" id="{BDEFBFAC-4BD3-4E9B-874A-E279EB36D403}"/>
            </a:ext>
          </a:extLst>
        </xdr:cNvPr>
        <xdr:cNvGrpSpPr>
          <a:grpSpLocks/>
        </xdr:cNvGrpSpPr>
      </xdr:nvGrpSpPr>
      <xdr:grpSpPr bwMode="auto">
        <a:xfrm>
          <a:off x="0" y="0"/>
          <a:ext cx="6259291" cy="1279559"/>
          <a:chOff x="57150" y="47625"/>
          <a:chExt cx="6316603" cy="1200288"/>
        </a:xfrm>
      </xdr:grpSpPr>
      <xdr:pic>
        <xdr:nvPicPr>
          <xdr:cNvPr id="19" name="1 Imagen" descr="ESCUDO-transp-lema-blanco.png">
            <a:extLst>
              <a:ext uri="{FF2B5EF4-FFF2-40B4-BE49-F238E27FC236}">
                <a16:creationId xmlns:a16="http://schemas.microsoft.com/office/drawing/2014/main" id="{C4614D29-099E-4C2C-B7F5-070E0508B38F}"/>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20" name="3 CuadroTexto">
            <a:extLst>
              <a:ext uri="{FF2B5EF4-FFF2-40B4-BE49-F238E27FC236}">
                <a16:creationId xmlns:a16="http://schemas.microsoft.com/office/drawing/2014/main" id="{BEC5405C-A2C5-4238-975F-D63C249917E4}"/>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2</xdr:col>
      <xdr:colOff>137161</xdr:colOff>
      <xdr:row>121</xdr:row>
      <xdr:rowOff>7620</xdr:rowOff>
    </xdr:from>
    <xdr:to>
      <xdr:col>2</xdr:col>
      <xdr:colOff>2222936</xdr:colOff>
      <xdr:row>121</xdr:row>
      <xdr:rowOff>103640</xdr:rowOff>
    </xdr:to>
    <xdr:pic>
      <xdr:nvPicPr>
        <xdr:cNvPr id="2" name="Imagen 1">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03961" y="34838640"/>
          <a:ext cx="2085775" cy="96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2100-000003000000}"/>
            </a:ext>
          </a:extLst>
        </xdr:cNvPr>
        <xdr:cNvGrpSpPr>
          <a:grpSpLocks/>
        </xdr:cNvGrpSpPr>
      </xdr:nvGrpSpPr>
      <xdr:grpSpPr bwMode="auto">
        <a:xfrm>
          <a:off x="0" y="0"/>
          <a:ext cx="6134883" cy="1279559"/>
          <a:chOff x="57150" y="47625"/>
          <a:chExt cx="6316603" cy="1200288"/>
        </a:xfrm>
      </xdr:grpSpPr>
      <xdr:pic>
        <xdr:nvPicPr>
          <xdr:cNvPr id="4" name="1 Imagen" descr="ESCUDO-transp-lema-blanco.png">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21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6" name="1 Grupo">
          <a:extLst>
            <a:ext uri="{FF2B5EF4-FFF2-40B4-BE49-F238E27FC236}">
              <a16:creationId xmlns:a16="http://schemas.microsoft.com/office/drawing/2014/main" id="{0B50091B-01F3-4D8C-8028-5AC51D109A73}"/>
            </a:ext>
          </a:extLst>
        </xdr:cNvPr>
        <xdr:cNvGrpSpPr>
          <a:grpSpLocks/>
        </xdr:cNvGrpSpPr>
      </xdr:nvGrpSpPr>
      <xdr:grpSpPr bwMode="auto">
        <a:xfrm>
          <a:off x="0" y="0"/>
          <a:ext cx="6134883" cy="1279559"/>
          <a:chOff x="57150" y="47625"/>
          <a:chExt cx="6316603" cy="1200288"/>
        </a:xfrm>
      </xdr:grpSpPr>
      <xdr:pic>
        <xdr:nvPicPr>
          <xdr:cNvPr id="7" name="1 Imagen" descr="ESCUDO-transp-lema-blanco.png">
            <a:extLst>
              <a:ext uri="{FF2B5EF4-FFF2-40B4-BE49-F238E27FC236}">
                <a16:creationId xmlns:a16="http://schemas.microsoft.com/office/drawing/2014/main" id="{1FCB9CE3-BBC6-44C7-A80D-E40F72AE26E6}"/>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8" name="3 CuadroTexto">
            <a:extLst>
              <a:ext uri="{FF2B5EF4-FFF2-40B4-BE49-F238E27FC236}">
                <a16:creationId xmlns:a16="http://schemas.microsoft.com/office/drawing/2014/main" id="{56CD0BB8-F1AC-40FC-8350-886FE06E8AFE}"/>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9" name="1 Grupo">
          <a:extLst>
            <a:ext uri="{FF2B5EF4-FFF2-40B4-BE49-F238E27FC236}">
              <a16:creationId xmlns:a16="http://schemas.microsoft.com/office/drawing/2014/main" id="{0E1EB4ED-2B8E-4606-A9A0-6679587B3769}"/>
            </a:ext>
          </a:extLst>
        </xdr:cNvPr>
        <xdr:cNvGrpSpPr>
          <a:grpSpLocks/>
        </xdr:cNvGrpSpPr>
      </xdr:nvGrpSpPr>
      <xdr:grpSpPr bwMode="auto">
        <a:xfrm>
          <a:off x="0" y="0"/>
          <a:ext cx="6134883" cy="1279559"/>
          <a:chOff x="57150" y="47625"/>
          <a:chExt cx="6316603" cy="1200288"/>
        </a:xfrm>
      </xdr:grpSpPr>
      <xdr:pic>
        <xdr:nvPicPr>
          <xdr:cNvPr id="10" name="1 Imagen" descr="ESCUDO-transp-lema-blanco.png">
            <a:extLst>
              <a:ext uri="{FF2B5EF4-FFF2-40B4-BE49-F238E27FC236}">
                <a16:creationId xmlns:a16="http://schemas.microsoft.com/office/drawing/2014/main" id="{F5069E32-9DE6-4615-91C8-84406CF20CBA}"/>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1" name="3 CuadroTexto">
            <a:extLst>
              <a:ext uri="{FF2B5EF4-FFF2-40B4-BE49-F238E27FC236}">
                <a16:creationId xmlns:a16="http://schemas.microsoft.com/office/drawing/2014/main" id="{7BB068D5-4C47-4180-904D-CC464F8E61E4}"/>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2" name="1 Grupo">
          <a:extLst>
            <a:ext uri="{FF2B5EF4-FFF2-40B4-BE49-F238E27FC236}">
              <a16:creationId xmlns:a16="http://schemas.microsoft.com/office/drawing/2014/main" id="{51778818-8E0A-4EA8-A96E-5F21795BE68F}"/>
            </a:ext>
          </a:extLst>
        </xdr:cNvPr>
        <xdr:cNvGrpSpPr>
          <a:grpSpLocks/>
        </xdr:cNvGrpSpPr>
      </xdr:nvGrpSpPr>
      <xdr:grpSpPr bwMode="auto">
        <a:xfrm>
          <a:off x="0" y="0"/>
          <a:ext cx="6134883" cy="1279559"/>
          <a:chOff x="57150" y="47625"/>
          <a:chExt cx="6316603" cy="1200288"/>
        </a:xfrm>
      </xdr:grpSpPr>
      <xdr:pic>
        <xdr:nvPicPr>
          <xdr:cNvPr id="13" name="1 Imagen" descr="ESCUDO-transp-lema-blanco.png">
            <a:extLst>
              <a:ext uri="{FF2B5EF4-FFF2-40B4-BE49-F238E27FC236}">
                <a16:creationId xmlns:a16="http://schemas.microsoft.com/office/drawing/2014/main" id="{0DFA0CB7-32B6-43EC-83E7-155E713B9597}"/>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4" name="3 CuadroTexto">
            <a:extLst>
              <a:ext uri="{FF2B5EF4-FFF2-40B4-BE49-F238E27FC236}">
                <a16:creationId xmlns:a16="http://schemas.microsoft.com/office/drawing/2014/main" id="{75922990-9C95-42DD-9153-687A6170EA79}"/>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5" name="1 Grupo">
          <a:extLst>
            <a:ext uri="{FF2B5EF4-FFF2-40B4-BE49-F238E27FC236}">
              <a16:creationId xmlns:a16="http://schemas.microsoft.com/office/drawing/2014/main" id="{BE276BA4-B223-4A9F-92F9-A0468175794B}"/>
            </a:ext>
          </a:extLst>
        </xdr:cNvPr>
        <xdr:cNvGrpSpPr>
          <a:grpSpLocks/>
        </xdr:cNvGrpSpPr>
      </xdr:nvGrpSpPr>
      <xdr:grpSpPr bwMode="auto">
        <a:xfrm>
          <a:off x="0" y="0"/>
          <a:ext cx="6134883" cy="1279559"/>
          <a:chOff x="57150" y="47625"/>
          <a:chExt cx="6316603" cy="1200288"/>
        </a:xfrm>
      </xdr:grpSpPr>
      <xdr:pic>
        <xdr:nvPicPr>
          <xdr:cNvPr id="16" name="1 Imagen" descr="ESCUDO-transp-lema-blanco.png">
            <a:extLst>
              <a:ext uri="{FF2B5EF4-FFF2-40B4-BE49-F238E27FC236}">
                <a16:creationId xmlns:a16="http://schemas.microsoft.com/office/drawing/2014/main" id="{028D6D52-8470-4508-A53E-760A221F7E2E}"/>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7" name="3 CuadroTexto">
            <a:extLst>
              <a:ext uri="{FF2B5EF4-FFF2-40B4-BE49-F238E27FC236}">
                <a16:creationId xmlns:a16="http://schemas.microsoft.com/office/drawing/2014/main" id="{C8C98393-9D75-40F6-B7A2-4D2571E00A4C}"/>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8" name="1 Grupo">
          <a:extLst>
            <a:ext uri="{FF2B5EF4-FFF2-40B4-BE49-F238E27FC236}">
              <a16:creationId xmlns:a16="http://schemas.microsoft.com/office/drawing/2014/main" id="{8A61D2C2-73C8-4E28-8899-E215330D3622}"/>
            </a:ext>
          </a:extLst>
        </xdr:cNvPr>
        <xdr:cNvGrpSpPr>
          <a:grpSpLocks/>
        </xdr:cNvGrpSpPr>
      </xdr:nvGrpSpPr>
      <xdr:grpSpPr bwMode="auto">
        <a:xfrm>
          <a:off x="0" y="0"/>
          <a:ext cx="6134883" cy="1279559"/>
          <a:chOff x="57150" y="47625"/>
          <a:chExt cx="6316603" cy="1200288"/>
        </a:xfrm>
      </xdr:grpSpPr>
      <xdr:pic>
        <xdr:nvPicPr>
          <xdr:cNvPr id="19" name="1 Imagen" descr="ESCUDO-transp-lema-blanco.png">
            <a:extLst>
              <a:ext uri="{FF2B5EF4-FFF2-40B4-BE49-F238E27FC236}">
                <a16:creationId xmlns:a16="http://schemas.microsoft.com/office/drawing/2014/main" id="{34ABC3F3-3515-497F-A785-983CEAE485B2}"/>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20" name="3 CuadroTexto">
            <a:extLst>
              <a:ext uri="{FF2B5EF4-FFF2-40B4-BE49-F238E27FC236}">
                <a16:creationId xmlns:a16="http://schemas.microsoft.com/office/drawing/2014/main" id="{1AEE6906-4D80-4BD5-8A36-D266A286BF11}"/>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21" name="1 Grupo">
          <a:extLst>
            <a:ext uri="{FF2B5EF4-FFF2-40B4-BE49-F238E27FC236}">
              <a16:creationId xmlns:a16="http://schemas.microsoft.com/office/drawing/2014/main" id="{80B8A0CA-14C4-484D-9C50-79D2EFB0E4D2}"/>
            </a:ext>
          </a:extLst>
        </xdr:cNvPr>
        <xdr:cNvGrpSpPr>
          <a:grpSpLocks/>
        </xdr:cNvGrpSpPr>
      </xdr:nvGrpSpPr>
      <xdr:grpSpPr bwMode="auto">
        <a:xfrm>
          <a:off x="0" y="0"/>
          <a:ext cx="6134883" cy="1279559"/>
          <a:chOff x="57150" y="47625"/>
          <a:chExt cx="6316603" cy="1200288"/>
        </a:xfrm>
      </xdr:grpSpPr>
      <xdr:pic>
        <xdr:nvPicPr>
          <xdr:cNvPr id="22" name="1 Imagen" descr="ESCUDO-transp-lema-blanco.png">
            <a:extLst>
              <a:ext uri="{FF2B5EF4-FFF2-40B4-BE49-F238E27FC236}">
                <a16:creationId xmlns:a16="http://schemas.microsoft.com/office/drawing/2014/main" id="{1833E18E-603E-4112-92F5-5458876C9008}"/>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23" name="3 CuadroTexto">
            <a:extLst>
              <a:ext uri="{FF2B5EF4-FFF2-40B4-BE49-F238E27FC236}">
                <a16:creationId xmlns:a16="http://schemas.microsoft.com/office/drawing/2014/main" id="{CCAE6076-15FB-40EF-AEF8-DD4BEB0EBC2E}"/>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2</xdr:col>
      <xdr:colOff>137161</xdr:colOff>
      <xdr:row>121</xdr:row>
      <xdr:rowOff>7620</xdr:rowOff>
    </xdr:from>
    <xdr:to>
      <xdr:col>2</xdr:col>
      <xdr:colOff>2222936</xdr:colOff>
      <xdr:row>121</xdr:row>
      <xdr:rowOff>103640</xdr:rowOff>
    </xdr:to>
    <xdr:pic>
      <xdr:nvPicPr>
        <xdr:cNvPr id="24" name="Imagen 23">
          <a:extLst>
            <a:ext uri="{FF2B5EF4-FFF2-40B4-BE49-F238E27FC236}">
              <a16:creationId xmlns:a16="http://schemas.microsoft.com/office/drawing/2014/main" id="{7276015E-41EA-4674-90B8-4226833F4609}"/>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90601" y="32880300"/>
          <a:ext cx="203635" cy="96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25" name="1 Grupo">
          <a:extLst>
            <a:ext uri="{FF2B5EF4-FFF2-40B4-BE49-F238E27FC236}">
              <a16:creationId xmlns:a16="http://schemas.microsoft.com/office/drawing/2014/main" id="{C1DFDB15-D436-4AB8-A347-71A7931589A1}"/>
            </a:ext>
          </a:extLst>
        </xdr:cNvPr>
        <xdr:cNvGrpSpPr>
          <a:grpSpLocks/>
        </xdr:cNvGrpSpPr>
      </xdr:nvGrpSpPr>
      <xdr:grpSpPr bwMode="auto">
        <a:xfrm>
          <a:off x="0" y="0"/>
          <a:ext cx="6134883" cy="1279559"/>
          <a:chOff x="57150" y="47625"/>
          <a:chExt cx="6316603" cy="1200288"/>
        </a:xfrm>
      </xdr:grpSpPr>
      <xdr:pic>
        <xdr:nvPicPr>
          <xdr:cNvPr id="26" name="1 Imagen" descr="ESCUDO-transp-lema-blanco.png">
            <a:extLst>
              <a:ext uri="{FF2B5EF4-FFF2-40B4-BE49-F238E27FC236}">
                <a16:creationId xmlns:a16="http://schemas.microsoft.com/office/drawing/2014/main" id="{40461640-8DD9-33A5-6972-6E828E3A8EEB}"/>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27" name="3 CuadroTexto">
            <a:extLst>
              <a:ext uri="{FF2B5EF4-FFF2-40B4-BE49-F238E27FC236}">
                <a16:creationId xmlns:a16="http://schemas.microsoft.com/office/drawing/2014/main" id="{0443F881-0195-D672-C3C5-2DC563EF8146}"/>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28" name="1 Grupo">
          <a:extLst>
            <a:ext uri="{FF2B5EF4-FFF2-40B4-BE49-F238E27FC236}">
              <a16:creationId xmlns:a16="http://schemas.microsoft.com/office/drawing/2014/main" id="{4209B6D5-E7EB-48F4-9BA1-3D7058B031F5}"/>
            </a:ext>
          </a:extLst>
        </xdr:cNvPr>
        <xdr:cNvGrpSpPr>
          <a:grpSpLocks/>
        </xdr:cNvGrpSpPr>
      </xdr:nvGrpSpPr>
      <xdr:grpSpPr bwMode="auto">
        <a:xfrm>
          <a:off x="0" y="0"/>
          <a:ext cx="6134883" cy="1279559"/>
          <a:chOff x="57150" y="47625"/>
          <a:chExt cx="6316603" cy="1200288"/>
        </a:xfrm>
      </xdr:grpSpPr>
      <xdr:pic>
        <xdr:nvPicPr>
          <xdr:cNvPr id="29" name="1 Imagen" descr="ESCUDO-transp-lema-blanco.png">
            <a:extLst>
              <a:ext uri="{FF2B5EF4-FFF2-40B4-BE49-F238E27FC236}">
                <a16:creationId xmlns:a16="http://schemas.microsoft.com/office/drawing/2014/main" id="{BE5A6024-9575-AEC1-EE9F-16D29049E195}"/>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30" name="3 CuadroTexto">
            <a:extLst>
              <a:ext uri="{FF2B5EF4-FFF2-40B4-BE49-F238E27FC236}">
                <a16:creationId xmlns:a16="http://schemas.microsoft.com/office/drawing/2014/main" id="{89977E24-B462-C328-6F30-2598AB22AB7E}"/>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31" name="1 Grupo">
          <a:extLst>
            <a:ext uri="{FF2B5EF4-FFF2-40B4-BE49-F238E27FC236}">
              <a16:creationId xmlns:a16="http://schemas.microsoft.com/office/drawing/2014/main" id="{60A626F7-81D2-4F22-B1A3-17485710A934}"/>
            </a:ext>
          </a:extLst>
        </xdr:cNvPr>
        <xdr:cNvGrpSpPr>
          <a:grpSpLocks/>
        </xdr:cNvGrpSpPr>
      </xdr:nvGrpSpPr>
      <xdr:grpSpPr bwMode="auto">
        <a:xfrm>
          <a:off x="0" y="0"/>
          <a:ext cx="6134883" cy="1279559"/>
          <a:chOff x="57150" y="47625"/>
          <a:chExt cx="6316603" cy="1200288"/>
        </a:xfrm>
      </xdr:grpSpPr>
      <xdr:pic>
        <xdr:nvPicPr>
          <xdr:cNvPr id="32" name="1 Imagen" descr="ESCUDO-transp-lema-blanco.png">
            <a:extLst>
              <a:ext uri="{FF2B5EF4-FFF2-40B4-BE49-F238E27FC236}">
                <a16:creationId xmlns:a16="http://schemas.microsoft.com/office/drawing/2014/main" id="{D1213640-AF6C-6BE9-7F0D-04FFE0CA3108}"/>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33" name="3 CuadroTexto">
            <a:extLst>
              <a:ext uri="{FF2B5EF4-FFF2-40B4-BE49-F238E27FC236}">
                <a16:creationId xmlns:a16="http://schemas.microsoft.com/office/drawing/2014/main" id="{CF695F42-E3D0-90DE-6282-95C67750487A}"/>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34" name="1 Grupo">
          <a:extLst>
            <a:ext uri="{FF2B5EF4-FFF2-40B4-BE49-F238E27FC236}">
              <a16:creationId xmlns:a16="http://schemas.microsoft.com/office/drawing/2014/main" id="{D717C3F5-6A83-4EAA-BB16-CCDC96F8E04D}"/>
            </a:ext>
          </a:extLst>
        </xdr:cNvPr>
        <xdr:cNvGrpSpPr>
          <a:grpSpLocks/>
        </xdr:cNvGrpSpPr>
      </xdr:nvGrpSpPr>
      <xdr:grpSpPr bwMode="auto">
        <a:xfrm>
          <a:off x="0" y="0"/>
          <a:ext cx="6134883" cy="1279559"/>
          <a:chOff x="57150" y="47625"/>
          <a:chExt cx="6316603" cy="1200288"/>
        </a:xfrm>
      </xdr:grpSpPr>
      <xdr:pic>
        <xdr:nvPicPr>
          <xdr:cNvPr id="35" name="1 Imagen" descr="ESCUDO-transp-lema-blanco.png">
            <a:extLst>
              <a:ext uri="{FF2B5EF4-FFF2-40B4-BE49-F238E27FC236}">
                <a16:creationId xmlns:a16="http://schemas.microsoft.com/office/drawing/2014/main" id="{BCF17378-F017-C944-5495-BB680ECF2078}"/>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36" name="3 CuadroTexto">
            <a:extLst>
              <a:ext uri="{FF2B5EF4-FFF2-40B4-BE49-F238E27FC236}">
                <a16:creationId xmlns:a16="http://schemas.microsoft.com/office/drawing/2014/main" id="{E1437A28-71B2-BE3A-82EF-214826C0BFD2}"/>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37" name="1 Grupo">
          <a:extLst>
            <a:ext uri="{FF2B5EF4-FFF2-40B4-BE49-F238E27FC236}">
              <a16:creationId xmlns:a16="http://schemas.microsoft.com/office/drawing/2014/main" id="{9D7F0A2A-5643-45FA-8508-C5AD6F5A3BEB}"/>
            </a:ext>
          </a:extLst>
        </xdr:cNvPr>
        <xdr:cNvGrpSpPr>
          <a:grpSpLocks/>
        </xdr:cNvGrpSpPr>
      </xdr:nvGrpSpPr>
      <xdr:grpSpPr bwMode="auto">
        <a:xfrm>
          <a:off x="0" y="0"/>
          <a:ext cx="6134883" cy="1279559"/>
          <a:chOff x="57150" y="47625"/>
          <a:chExt cx="6316603" cy="1200288"/>
        </a:xfrm>
      </xdr:grpSpPr>
      <xdr:pic>
        <xdr:nvPicPr>
          <xdr:cNvPr id="38" name="1 Imagen" descr="ESCUDO-transp-lema-blanco.png">
            <a:extLst>
              <a:ext uri="{FF2B5EF4-FFF2-40B4-BE49-F238E27FC236}">
                <a16:creationId xmlns:a16="http://schemas.microsoft.com/office/drawing/2014/main" id="{9BB9AA7B-7432-146A-A136-B3A8AE1C6C8E}"/>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39" name="3 CuadroTexto">
            <a:extLst>
              <a:ext uri="{FF2B5EF4-FFF2-40B4-BE49-F238E27FC236}">
                <a16:creationId xmlns:a16="http://schemas.microsoft.com/office/drawing/2014/main" id="{7B458F6F-B2C8-7CE8-E474-A546C353BD41}"/>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40" name="1 Grupo">
          <a:extLst>
            <a:ext uri="{FF2B5EF4-FFF2-40B4-BE49-F238E27FC236}">
              <a16:creationId xmlns:a16="http://schemas.microsoft.com/office/drawing/2014/main" id="{69B74EF2-6EEF-48D2-8592-2EEED82EE046}"/>
            </a:ext>
          </a:extLst>
        </xdr:cNvPr>
        <xdr:cNvGrpSpPr>
          <a:grpSpLocks/>
        </xdr:cNvGrpSpPr>
      </xdr:nvGrpSpPr>
      <xdr:grpSpPr bwMode="auto">
        <a:xfrm>
          <a:off x="0" y="0"/>
          <a:ext cx="6134883" cy="1279559"/>
          <a:chOff x="57150" y="47625"/>
          <a:chExt cx="6316603" cy="1200288"/>
        </a:xfrm>
      </xdr:grpSpPr>
      <xdr:pic>
        <xdr:nvPicPr>
          <xdr:cNvPr id="41" name="1 Imagen" descr="ESCUDO-transp-lema-blanco.png">
            <a:extLst>
              <a:ext uri="{FF2B5EF4-FFF2-40B4-BE49-F238E27FC236}">
                <a16:creationId xmlns:a16="http://schemas.microsoft.com/office/drawing/2014/main" id="{4904FEB2-A941-C285-7B4C-F0FF9B40A1E7}"/>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42" name="3 CuadroTexto">
            <a:extLst>
              <a:ext uri="{FF2B5EF4-FFF2-40B4-BE49-F238E27FC236}">
                <a16:creationId xmlns:a16="http://schemas.microsoft.com/office/drawing/2014/main" id="{392441FF-A753-EE7E-D505-BEC21F77F363}"/>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43" name="1 Grupo">
          <a:extLst>
            <a:ext uri="{FF2B5EF4-FFF2-40B4-BE49-F238E27FC236}">
              <a16:creationId xmlns:a16="http://schemas.microsoft.com/office/drawing/2014/main" id="{2FE4500C-051B-4929-B6DA-9EEF82E77D78}"/>
            </a:ext>
          </a:extLst>
        </xdr:cNvPr>
        <xdr:cNvGrpSpPr>
          <a:grpSpLocks/>
        </xdr:cNvGrpSpPr>
      </xdr:nvGrpSpPr>
      <xdr:grpSpPr bwMode="auto">
        <a:xfrm>
          <a:off x="0" y="0"/>
          <a:ext cx="6134883" cy="1279559"/>
          <a:chOff x="57150" y="47625"/>
          <a:chExt cx="6316603" cy="1200288"/>
        </a:xfrm>
      </xdr:grpSpPr>
      <xdr:pic>
        <xdr:nvPicPr>
          <xdr:cNvPr id="44" name="1 Imagen" descr="ESCUDO-transp-lema-blanco.png">
            <a:extLst>
              <a:ext uri="{FF2B5EF4-FFF2-40B4-BE49-F238E27FC236}">
                <a16:creationId xmlns:a16="http://schemas.microsoft.com/office/drawing/2014/main" id="{821A3A9A-5E8E-478E-5F96-1AC035F7CC11}"/>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45" name="3 CuadroTexto">
            <a:extLst>
              <a:ext uri="{FF2B5EF4-FFF2-40B4-BE49-F238E27FC236}">
                <a16:creationId xmlns:a16="http://schemas.microsoft.com/office/drawing/2014/main" id="{BD2954A4-6ADE-51E1-B149-096C322432FA}"/>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2</xdr:col>
      <xdr:colOff>0</xdr:colOff>
      <xdr:row>80</xdr:row>
      <xdr:rowOff>0</xdr:rowOff>
    </xdr:from>
    <xdr:to>
      <xdr:col>4</xdr:col>
      <xdr:colOff>83820</xdr:colOff>
      <xdr:row>82</xdr:row>
      <xdr:rowOff>7620</xdr:rowOff>
    </xdr:to>
    <xdr:pic>
      <xdr:nvPicPr>
        <xdr:cNvPr id="2" name="Imagen 1">
          <a:extLst>
            <a:ext uri="{FF2B5EF4-FFF2-40B4-BE49-F238E27FC236}">
              <a16:creationId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2480" y="47343060"/>
          <a:ext cx="1668780" cy="373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89</xdr:row>
      <xdr:rowOff>0</xdr:rowOff>
    </xdr:from>
    <xdr:to>
      <xdr:col>3</xdr:col>
      <xdr:colOff>434340</xdr:colOff>
      <xdr:row>90</xdr:row>
      <xdr:rowOff>106680</xdr:rowOff>
    </xdr:to>
    <xdr:pic>
      <xdr:nvPicPr>
        <xdr:cNvPr id="3" name="Imagen 2">
          <a:extLst>
            <a:ext uri="{FF2B5EF4-FFF2-40B4-BE49-F238E27FC236}">
              <a16:creationId xmlns:a16="http://schemas.microsoft.com/office/drawing/2014/main" id="{00000000-0008-0000-22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2480" y="56639460"/>
          <a:ext cx="1226820" cy="289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418683</xdr:colOff>
      <xdr:row>97</xdr:row>
      <xdr:rowOff>0</xdr:rowOff>
    </xdr:from>
    <xdr:to>
      <xdr:col>2</xdr:col>
      <xdr:colOff>1958056</xdr:colOff>
      <xdr:row>98</xdr:row>
      <xdr:rowOff>97745</xdr:rowOff>
    </xdr:to>
    <xdr:pic>
      <xdr:nvPicPr>
        <xdr:cNvPr id="4" name="Imagen 3">
          <a:extLst>
            <a:ext uri="{FF2B5EF4-FFF2-40B4-BE49-F238E27FC236}">
              <a16:creationId xmlns:a16="http://schemas.microsoft.com/office/drawing/2014/main" id="{00000000-0008-0000-2200-000004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41232" y="37480352"/>
          <a:ext cx="1539373" cy="281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5" name="1 Grupo">
          <a:extLst>
            <a:ext uri="{FF2B5EF4-FFF2-40B4-BE49-F238E27FC236}">
              <a16:creationId xmlns:a16="http://schemas.microsoft.com/office/drawing/2014/main" id="{00000000-0008-0000-2200-000005000000}"/>
            </a:ext>
          </a:extLst>
        </xdr:cNvPr>
        <xdr:cNvGrpSpPr>
          <a:grpSpLocks/>
        </xdr:cNvGrpSpPr>
      </xdr:nvGrpSpPr>
      <xdr:grpSpPr bwMode="auto">
        <a:xfrm>
          <a:off x="0" y="0"/>
          <a:ext cx="5511598" cy="1274375"/>
          <a:chOff x="57150" y="47625"/>
          <a:chExt cx="6316603" cy="1200288"/>
        </a:xfrm>
      </xdr:grpSpPr>
      <xdr:pic>
        <xdr:nvPicPr>
          <xdr:cNvPr id="6" name="1 Imagen" descr="ESCUDO-transp-lema-blanco.png">
            <a:extLst>
              <a:ext uri="{FF2B5EF4-FFF2-40B4-BE49-F238E27FC236}">
                <a16:creationId xmlns:a16="http://schemas.microsoft.com/office/drawing/2014/main" id="{00000000-0008-0000-2200-000006000000}"/>
              </a:ext>
            </a:extLst>
          </xdr:cNvPr>
          <xdr:cNvPicPr>
            <a:picLocks noChangeAspect="1"/>
          </xdr:cNvPicPr>
        </xdr:nvPicPr>
        <xdr:blipFill>
          <a:blip xmlns:r="http://schemas.openxmlformats.org/officeDocument/2006/relationships" r:embed="rId4"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7" name="3 CuadroTexto">
            <a:extLst>
              <a:ext uri="{FF2B5EF4-FFF2-40B4-BE49-F238E27FC236}">
                <a16:creationId xmlns:a16="http://schemas.microsoft.com/office/drawing/2014/main" id="{00000000-0008-0000-2200-000007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8" name="1 Grupo">
          <a:extLst>
            <a:ext uri="{FF2B5EF4-FFF2-40B4-BE49-F238E27FC236}">
              <a16:creationId xmlns:a16="http://schemas.microsoft.com/office/drawing/2014/main" id="{B6B4EA18-716F-4608-B17F-9A2138ABD1BB}"/>
            </a:ext>
          </a:extLst>
        </xdr:cNvPr>
        <xdr:cNvGrpSpPr>
          <a:grpSpLocks/>
        </xdr:cNvGrpSpPr>
      </xdr:nvGrpSpPr>
      <xdr:grpSpPr bwMode="auto">
        <a:xfrm>
          <a:off x="0" y="0"/>
          <a:ext cx="5511598" cy="1274375"/>
          <a:chOff x="57150" y="47625"/>
          <a:chExt cx="6316603" cy="1200288"/>
        </a:xfrm>
      </xdr:grpSpPr>
      <xdr:pic>
        <xdr:nvPicPr>
          <xdr:cNvPr id="9" name="1 Imagen" descr="ESCUDO-transp-lema-blanco.png">
            <a:extLst>
              <a:ext uri="{FF2B5EF4-FFF2-40B4-BE49-F238E27FC236}">
                <a16:creationId xmlns:a16="http://schemas.microsoft.com/office/drawing/2014/main" id="{3E6FA8A0-0BEF-4285-B73F-41DE1B207095}"/>
              </a:ext>
            </a:extLst>
          </xdr:cNvPr>
          <xdr:cNvPicPr>
            <a:picLocks noChangeAspect="1"/>
          </xdr:cNvPicPr>
        </xdr:nvPicPr>
        <xdr:blipFill>
          <a:blip xmlns:r="http://schemas.openxmlformats.org/officeDocument/2006/relationships" r:embed="rId4"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0" name="3 CuadroTexto">
            <a:extLst>
              <a:ext uri="{FF2B5EF4-FFF2-40B4-BE49-F238E27FC236}">
                <a16:creationId xmlns:a16="http://schemas.microsoft.com/office/drawing/2014/main" id="{A864EFE8-4C60-4702-89D2-6BB290060C42}"/>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2</xdr:col>
      <xdr:colOff>0</xdr:colOff>
      <xdr:row>80</xdr:row>
      <xdr:rowOff>0</xdr:rowOff>
    </xdr:from>
    <xdr:to>
      <xdr:col>4</xdr:col>
      <xdr:colOff>83820</xdr:colOff>
      <xdr:row>82</xdr:row>
      <xdr:rowOff>7620</xdr:rowOff>
    </xdr:to>
    <xdr:pic>
      <xdr:nvPicPr>
        <xdr:cNvPr id="11" name="Imagen 10">
          <a:extLst>
            <a:ext uri="{FF2B5EF4-FFF2-40B4-BE49-F238E27FC236}">
              <a16:creationId xmlns:a16="http://schemas.microsoft.com/office/drawing/2014/main" id="{2A15C017-4BB7-4A90-AAC0-2D272BE364DC}"/>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81075" y="30537150"/>
          <a:ext cx="2750820" cy="3817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89</xdr:row>
      <xdr:rowOff>0</xdr:rowOff>
    </xdr:from>
    <xdr:to>
      <xdr:col>3</xdr:col>
      <xdr:colOff>434340</xdr:colOff>
      <xdr:row>90</xdr:row>
      <xdr:rowOff>106680</xdr:rowOff>
    </xdr:to>
    <xdr:pic>
      <xdr:nvPicPr>
        <xdr:cNvPr id="12" name="Imagen 11">
          <a:extLst>
            <a:ext uri="{FF2B5EF4-FFF2-40B4-BE49-F238E27FC236}">
              <a16:creationId xmlns:a16="http://schemas.microsoft.com/office/drawing/2014/main" id="{287904C3-817D-478D-BD99-9B90CE99A588}"/>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81075" y="39957375"/>
          <a:ext cx="777240" cy="297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418683</xdr:colOff>
      <xdr:row>97</xdr:row>
      <xdr:rowOff>0</xdr:rowOff>
    </xdr:from>
    <xdr:to>
      <xdr:col>2</xdr:col>
      <xdr:colOff>1958056</xdr:colOff>
      <xdr:row>98</xdr:row>
      <xdr:rowOff>97745</xdr:rowOff>
    </xdr:to>
    <xdr:pic>
      <xdr:nvPicPr>
        <xdr:cNvPr id="13" name="Imagen 12">
          <a:extLst>
            <a:ext uri="{FF2B5EF4-FFF2-40B4-BE49-F238E27FC236}">
              <a16:creationId xmlns:a16="http://schemas.microsoft.com/office/drawing/2014/main" id="{75814D13-A33E-4837-A695-3FFFDA5411E5}"/>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23558" y="43310175"/>
          <a:ext cx="0" cy="421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14" name="1 Grupo">
          <a:extLst>
            <a:ext uri="{FF2B5EF4-FFF2-40B4-BE49-F238E27FC236}">
              <a16:creationId xmlns:a16="http://schemas.microsoft.com/office/drawing/2014/main" id="{FF7B31AC-88AB-458F-8715-0D9992C41D80}"/>
            </a:ext>
          </a:extLst>
        </xdr:cNvPr>
        <xdr:cNvGrpSpPr>
          <a:grpSpLocks/>
        </xdr:cNvGrpSpPr>
      </xdr:nvGrpSpPr>
      <xdr:grpSpPr bwMode="auto">
        <a:xfrm>
          <a:off x="0" y="0"/>
          <a:ext cx="5511598" cy="1274375"/>
          <a:chOff x="57150" y="47625"/>
          <a:chExt cx="6316603" cy="1200288"/>
        </a:xfrm>
      </xdr:grpSpPr>
      <xdr:pic>
        <xdr:nvPicPr>
          <xdr:cNvPr id="15" name="1 Imagen" descr="ESCUDO-transp-lema-blanco.png">
            <a:extLst>
              <a:ext uri="{FF2B5EF4-FFF2-40B4-BE49-F238E27FC236}">
                <a16:creationId xmlns:a16="http://schemas.microsoft.com/office/drawing/2014/main" id="{69CF4FCE-AE76-47D1-818D-2E195B4E92E1}"/>
              </a:ext>
            </a:extLst>
          </xdr:cNvPr>
          <xdr:cNvPicPr>
            <a:picLocks noChangeAspect="1"/>
          </xdr:cNvPicPr>
        </xdr:nvPicPr>
        <xdr:blipFill>
          <a:blip xmlns:r="http://schemas.openxmlformats.org/officeDocument/2006/relationships" r:embed="rId4"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6" name="3 CuadroTexto">
            <a:extLst>
              <a:ext uri="{FF2B5EF4-FFF2-40B4-BE49-F238E27FC236}">
                <a16:creationId xmlns:a16="http://schemas.microsoft.com/office/drawing/2014/main" id="{AE8B8B8D-FBF2-46C2-B13B-C62493ADF03F}"/>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7" name="1 Grupo">
          <a:extLst>
            <a:ext uri="{FF2B5EF4-FFF2-40B4-BE49-F238E27FC236}">
              <a16:creationId xmlns:a16="http://schemas.microsoft.com/office/drawing/2014/main" id="{D0196D34-1330-4F07-A7AB-AB9117E5EE10}"/>
            </a:ext>
          </a:extLst>
        </xdr:cNvPr>
        <xdr:cNvGrpSpPr>
          <a:grpSpLocks/>
        </xdr:cNvGrpSpPr>
      </xdr:nvGrpSpPr>
      <xdr:grpSpPr bwMode="auto">
        <a:xfrm>
          <a:off x="0" y="0"/>
          <a:ext cx="5511598" cy="1274375"/>
          <a:chOff x="57150" y="47625"/>
          <a:chExt cx="6316603" cy="1200288"/>
        </a:xfrm>
      </xdr:grpSpPr>
      <xdr:pic>
        <xdr:nvPicPr>
          <xdr:cNvPr id="18" name="1 Imagen" descr="ESCUDO-transp-lema-blanco.png">
            <a:extLst>
              <a:ext uri="{FF2B5EF4-FFF2-40B4-BE49-F238E27FC236}">
                <a16:creationId xmlns:a16="http://schemas.microsoft.com/office/drawing/2014/main" id="{A18EB8F2-5EC4-4BE0-B52A-5A52F9CD0EB7}"/>
              </a:ext>
            </a:extLst>
          </xdr:cNvPr>
          <xdr:cNvPicPr>
            <a:picLocks noChangeAspect="1"/>
          </xdr:cNvPicPr>
        </xdr:nvPicPr>
        <xdr:blipFill>
          <a:blip xmlns:r="http://schemas.openxmlformats.org/officeDocument/2006/relationships" r:embed="rId4"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9" name="3 CuadroTexto">
            <a:extLst>
              <a:ext uri="{FF2B5EF4-FFF2-40B4-BE49-F238E27FC236}">
                <a16:creationId xmlns:a16="http://schemas.microsoft.com/office/drawing/2014/main" id="{DDD9F839-99E8-4246-803E-CDEA9953E021}"/>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2</xdr:col>
      <xdr:colOff>0</xdr:colOff>
      <xdr:row>80</xdr:row>
      <xdr:rowOff>0</xdr:rowOff>
    </xdr:from>
    <xdr:to>
      <xdr:col>4</xdr:col>
      <xdr:colOff>83820</xdr:colOff>
      <xdr:row>82</xdr:row>
      <xdr:rowOff>7620</xdr:rowOff>
    </xdr:to>
    <xdr:pic>
      <xdr:nvPicPr>
        <xdr:cNvPr id="20" name="Imagen 19">
          <a:extLst>
            <a:ext uri="{FF2B5EF4-FFF2-40B4-BE49-F238E27FC236}">
              <a16:creationId xmlns:a16="http://schemas.microsoft.com/office/drawing/2014/main" id="{0505A872-1594-4E22-BFE9-AB5C2A4972BA}"/>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13460" y="28536900"/>
          <a:ext cx="2827020" cy="3208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89</xdr:row>
      <xdr:rowOff>0</xdr:rowOff>
    </xdr:from>
    <xdr:to>
      <xdr:col>3</xdr:col>
      <xdr:colOff>434340</xdr:colOff>
      <xdr:row>90</xdr:row>
      <xdr:rowOff>106680</xdr:rowOff>
    </xdr:to>
    <xdr:pic>
      <xdr:nvPicPr>
        <xdr:cNvPr id="21" name="Imagen 20">
          <a:extLst>
            <a:ext uri="{FF2B5EF4-FFF2-40B4-BE49-F238E27FC236}">
              <a16:creationId xmlns:a16="http://schemas.microsoft.com/office/drawing/2014/main" id="{451FC235-FD70-4A5C-B445-50B03EC9423B}"/>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13460" y="36743640"/>
          <a:ext cx="784860" cy="289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418683</xdr:colOff>
      <xdr:row>97</xdr:row>
      <xdr:rowOff>0</xdr:rowOff>
    </xdr:from>
    <xdr:to>
      <xdr:col>2</xdr:col>
      <xdr:colOff>1958056</xdr:colOff>
      <xdr:row>98</xdr:row>
      <xdr:rowOff>97745</xdr:rowOff>
    </xdr:to>
    <xdr:pic>
      <xdr:nvPicPr>
        <xdr:cNvPr id="22" name="Imagen 21">
          <a:extLst>
            <a:ext uri="{FF2B5EF4-FFF2-40B4-BE49-F238E27FC236}">
              <a16:creationId xmlns:a16="http://schemas.microsoft.com/office/drawing/2014/main" id="{0F9613A5-2A58-4739-9E56-82166930B0DD}"/>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63563" y="39791640"/>
          <a:ext cx="133" cy="433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23" name="1 Grupo">
          <a:extLst>
            <a:ext uri="{FF2B5EF4-FFF2-40B4-BE49-F238E27FC236}">
              <a16:creationId xmlns:a16="http://schemas.microsoft.com/office/drawing/2014/main" id="{06094637-27BF-44B3-A788-FA6480A3CED2}"/>
            </a:ext>
          </a:extLst>
        </xdr:cNvPr>
        <xdr:cNvGrpSpPr>
          <a:grpSpLocks/>
        </xdr:cNvGrpSpPr>
      </xdr:nvGrpSpPr>
      <xdr:grpSpPr bwMode="auto">
        <a:xfrm>
          <a:off x="0" y="0"/>
          <a:ext cx="5511598" cy="1274375"/>
          <a:chOff x="57150" y="47625"/>
          <a:chExt cx="6316603" cy="1200288"/>
        </a:xfrm>
      </xdr:grpSpPr>
      <xdr:pic>
        <xdr:nvPicPr>
          <xdr:cNvPr id="24" name="1 Imagen" descr="ESCUDO-transp-lema-blanco.png">
            <a:extLst>
              <a:ext uri="{FF2B5EF4-FFF2-40B4-BE49-F238E27FC236}">
                <a16:creationId xmlns:a16="http://schemas.microsoft.com/office/drawing/2014/main" id="{1462F84E-40B9-451B-7E83-DB0E8B227FED}"/>
              </a:ext>
            </a:extLst>
          </xdr:cNvPr>
          <xdr:cNvPicPr>
            <a:picLocks noChangeAspect="1"/>
          </xdr:cNvPicPr>
        </xdr:nvPicPr>
        <xdr:blipFill>
          <a:blip xmlns:r="http://schemas.openxmlformats.org/officeDocument/2006/relationships" r:embed="rId4"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25" name="3 CuadroTexto">
            <a:extLst>
              <a:ext uri="{FF2B5EF4-FFF2-40B4-BE49-F238E27FC236}">
                <a16:creationId xmlns:a16="http://schemas.microsoft.com/office/drawing/2014/main" id="{92F3C5CF-D308-9394-3DF5-7B917E449EB5}"/>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26" name="1 Grupo">
          <a:extLst>
            <a:ext uri="{FF2B5EF4-FFF2-40B4-BE49-F238E27FC236}">
              <a16:creationId xmlns:a16="http://schemas.microsoft.com/office/drawing/2014/main" id="{00580E2D-FDB2-4F82-AC04-6F67D750DE8F}"/>
            </a:ext>
          </a:extLst>
        </xdr:cNvPr>
        <xdr:cNvGrpSpPr>
          <a:grpSpLocks/>
        </xdr:cNvGrpSpPr>
      </xdr:nvGrpSpPr>
      <xdr:grpSpPr bwMode="auto">
        <a:xfrm>
          <a:off x="0" y="0"/>
          <a:ext cx="5511598" cy="1274375"/>
          <a:chOff x="57150" y="47625"/>
          <a:chExt cx="6316603" cy="1200288"/>
        </a:xfrm>
      </xdr:grpSpPr>
      <xdr:pic>
        <xdr:nvPicPr>
          <xdr:cNvPr id="27" name="1 Imagen" descr="ESCUDO-transp-lema-blanco.png">
            <a:extLst>
              <a:ext uri="{FF2B5EF4-FFF2-40B4-BE49-F238E27FC236}">
                <a16:creationId xmlns:a16="http://schemas.microsoft.com/office/drawing/2014/main" id="{CECC8A44-E8AA-AA62-D305-B01BDCFD5B07}"/>
              </a:ext>
            </a:extLst>
          </xdr:cNvPr>
          <xdr:cNvPicPr>
            <a:picLocks noChangeAspect="1"/>
          </xdr:cNvPicPr>
        </xdr:nvPicPr>
        <xdr:blipFill>
          <a:blip xmlns:r="http://schemas.openxmlformats.org/officeDocument/2006/relationships" r:embed="rId4"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28" name="3 CuadroTexto">
            <a:extLst>
              <a:ext uri="{FF2B5EF4-FFF2-40B4-BE49-F238E27FC236}">
                <a16:creationId xmlns:a16="http://schemas.microsoft.com/office/drawing/2014/main" id="{7399512E-DD83-596C-E0EA-6480E2577DBE}"/>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2</xdr:col>
      <xdr:colOff>0</xdr:colOff>
      <xdr:row>80</xdr:row>
      <xdr:rowOff>0</xdr:rowOff>
    </xdr:from>
    <xdr:to>
      <xdr:col>4</xdr:col>
      <xdr:colOff>83820</xdr:colOff>
      <xdr:row>82</xdr:row>
      <xdr:rowOff>7620</xdr:rowOff>
    </xdr:to>
    <xdr:pic>
      <xdr:nvPicPr>
        <xdr:cNvPr id="29" name="Imagen 28">
          <a:extLst>
            <a:ext uri="{FF2B5EF4-FFF2-40B4-BE49-F238E27FC236}">
              <a16:creationId xmlns:a16="http://schemas.microsoft.com/office/drawing/2014/main" id="{B88E6F39-3A7C-4D88-BE4A-FB6F1F73F3A7}"/>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13460" y="28536900"/>
          <a:ext cx="2827020" cy="3208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89</xdr:row>
      <xdr:rowOff>0</xdr:rowOff>
    </xdr:from>
    <xdr:to>
      <xdr:col>3</xdr:col>
      <xdr:colOff>434340</xdr:colOff>
      <xdr:row>90</xdr:row>
      <xdr:rowOff>106680</xdr:rowOff>
    </xdr:to>
    <xdr:pic>
      <xdr:nvPicPr>
        <xdr:cNvPr id="30" name="Imagen 29">
          <a:extLst>
            <a:ext uri="{FF2B5EF4-FFF2-40B4-BE49-F238E27FC236}">
              <a16:creationId xmlns:a16="http://schemas.microsoft.com/office/drawing/2014/main" id="{7185058B-844C-4247-8A1B-C08184E975C5}"/>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13460" y="36743640"/>
          <a:ext cx="784860" cy="289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418683</xdr:colOff>
      <xdr:row>97</xdr:row>
      <xdr:rowOff>0</xdr:rowOff>
    </xdr:from>
    <xdr:to>
      <xdr:col>2</xdr:col>
      <xdr:colOff>1958056</xdr:colOff>
      <xdr:row>98</xdr:row>
      <xdr:rowOff>97745</xdr:rowOff>
    </xdr:to>
    <xdr:pic>
      <xdr:nvPicPr>
        <xdr:cNvPr id="31" name="Imagen 30">
          <a:extLst>
            <a:ext uri="{FF2B5EF4-FFF2-40B4-BE49-F238E27FC236}">
              <a16:creationId xmlns:a16="http://schemas.microsoft.com/office/drawing/2014/main" id="{90E6E70D-79C6-42DD-A674-B0C53C0E0DD9}"/>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63563" y="39791640"/>
          <a:ext cx="133" cy="433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2" name="1 Grupo">
          <a:extLst>
            <a:ext uri="{FF2B5EF4-FFF2-40B4-BE49-F238E27FC236}">
              <a16:creationId xmlns:a16="http://schemas.microsoft.com/office/drawing/2014/main" id="{404CD24C-EE7D-4A5B-B3A7-469BAEC330D8}"/>
            </a:ext>
          </a:extLst>
        </xdr:cNvPr>
        <xdr:cNvGrpSpPr>
          <a:grpSpLocks/>
        </xdr:cNvGrpSpPr>
      </xdr:nvGrpSpPr>
      <xdr:grpSpPr bwMode="auto">
        <a:xfrm>
          <a:off x="0" y="0"/>
          <a:ext cx="5511598" cy="1274375"/>
          <a:chOff x="57150" y="47625"/>
          <a:chExt cx="6316603" cy="1200288"/>
        </a:xfrm>
      </xdr:grpSpPr>
      <xdr:pic>
        <xdr:nvPicPr>
          <xdr:cNvPr id="33" name="1 Imagen" descr="ESCUDO-transp-lema-blanco.png">
            <a:extLst>
              <a:ext uri="{FF2B5EF4-FFF2-40B4-BE49-F238E27FC236}">
                <a16:creationId xmlns:a16="http://schemas.microsoft.com/office/drawing/2014/main" id="{245A8C8F-63F2-7B06-881A-D8155462C94E}"/>
              </a:ext>
            </a:extLst>
          </xdr:cNvPr>
          <xdr:cNvPicPr>
            <a:picLocks noChangeAspect="1"/>
          </xdr:cNvPicPr>
        </xdr:nvPicPr>
        <xdr:blipFill>
          <a:blip xmlns:r="http://schemas.openxmlformats.org/officeDocument/2006/relationships" r:embed="rId4"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34" name="3 CuadroTexto">
            <a:extLst>
              <a:ext uri="{FF2B5EF4-FFF2-40B4-BE49-F238E27FC236}">
                <a16:creationId xmlns:a16="http://schemas.microsoft.com/office/drawing/2014/main" id="{3B55912B-8E1E-6E82-20AE-D18AFA8A80C2}"/>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35" name="1 Grupo">
          <a:extLst>
            <a:ext uri="{FF2B5EF4-FFF2-40B4-BE49-F238E27FC236}">
              <a16:creationId xmlns:a16="http://schemas.microsoft.com/office/drawing/2014/main" id="{CA7DBF4D-4AFC-432C-AB4B-7C15E0D0D0AC}"/>
            </a:ext>
          </a:extLst>
        </xdr:cNvPr>
        <xdr:cNvGrpSpPr>
          <a:grpSpLocks/>
        </xdr:cNvGrpSpPr>
      </xdr:nvGrpSpPr>
      <xdr:grpSpPr bwMode="auto">
        <a:xfrm>
          <a:off x="0" y="0"/>
          <a:ext cx="5511598" cy="1274375"/>
          <a:chOff x="57150" y="47625"/>
          <a:chExt cx="6316603" cy="1200288"/>
        </a:xfrm>
      </xdr:grpSpPr>
      <xdr:pic>
        <xdr:nvPicPr>
          <xdr:cNvPr id="36" name="1 Imagen" descr="ESCUDO-transp-lema-blanco.png">
            <a:extLst>
              <a:ext uri="{FF2B5EF4-FFF2-40B4-BE49-F238E27FC236}">
                <a16:creationId xmlns:a16="http://schemas.microsoft.com/office/drawing/2014/main" id="{CB372E09-F764-EE37-BAFF-1794AB22D42A}"/>
              </a:ext>
            </a:extLst>
          </xdr:cNvPr>
          <xdr:cNvPicPr>
            <a:picLocks noChangeAspect="1"/>
          </xdr:cNvPicPr>
        </xdr:nvPicPr>
        <xdr:blipFill>
          <a:blip xmlns:r="http://schemas.openxmlformats.org/officeDocument/2006/relationships" r:embed="rId4"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37" name="3 CuadroTexto">
            <a:extLst>
              <a:ext uri="{FF2B5EF4-FFF2-40B4-BE49-F238E27FC236}">
                <a16:creationId xmlns:a16="http://schemas.microsoft.com/office/drawing/2014/main" id="{FD7F4B7C-4EE4-9E2E-24DB-AE9F705CD6C6}"/>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2</xdr:col>
      <xdr:colOff>160021</xdr:colOff>
      <xdr:row>131</xdr:row>
      <xdr:rowOff>45720</xdr:rowOff>
    </xdr:from>
    <xdr:to>
      <xdr:col>3</xdr:col>
      <xdr:colOff>5364</xdr:colOff>
      <xdr:row>131</xdr:row>
      <xdr:rowOff>141740</xdr:rowOff>
    </xdr:to>
    <xdr:pic>
      <xdr:nvPicPr>
        <xdr:cNvPr id="2" name="Imagen 1">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28785" y="59351929"/>
          <a:ext cx="358227" cy="96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4821</xdr:colOff>
      <xdr:row>144</xdr:row>
      <xdr:rowOff>60960</xdr:rowOff>
    </xdr:from>
    <xdr:to>
      <xdr:col>3</xdr:col>
      <xdr:colOff>777466</xdr:colOff>
      <xdr:row>145</xdr:row>
      <xdr:rowOff>175286</xdr:rowOff>
    </xdr:to>
    <xdr:pic>
      <xdr:nvPicPr>
        <xdr:cNvPr id="3" name="Imagen 2">
          <a:extLst>
            <a:ext uri="{FF2B5EF4-FFF2-40B4-BE49-F238E27FC236}">
              <a16:creationId xmlns:a16="http://schemas.microsoft.com/office/drawing/2014/main" id="{00000000-0008-0000-23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86469" y="63721455"/>
          <a:ext cx="772645" cy="3027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4" name="1 Grupo">
          <a:extLst>
            <a:ext uri="{FF2B5EF4-FFF2-40B4-BE49-F238E27FC236}">
              <a16:creationId xmlns:a16="http://schemas.microsoft.com/office/drawing/2014/main" id="{00000000-0008-0000-2300-000004000000}"/>
            </a:ext>
          </a:extLst>
        </xdr:cNvPr>
        <xdr:cNvGrpSpPr>
          <a:grpSpLocks/>
        </xdr:cNvGrpSpPr>
      </xdr:nvGrpSpPr>
      <xdr:grpSpPr bwMode="auto">
        <a:xfrm>
          <a:off x="0" y="0"/>
          <a:ext cx="6422188" cy="1280725"/>
          <a:chOff x="57150" y="47625"/>
          <a:chExt cx="6316603" cy="1200288"/>
        </a:xfrm>
      </xdr:grpSpPr>
      <xdr:pic>
        <xdr:nvPicPr>
          <xdr:cNvPr id="5" name="1 Imagen" descr="ESCUDO-transp-lema-blanco.png">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6" name="3 CuadroTexto">
            <a:extLst>
              <a:ext uri="{FF2B5EF4-FFF2-40B4-BE49-F238E27FC236}">
                <a16:creationId xmlns:a16="http://schemas.microsoft.com/office/drawing/2014/main" id="{00000000-0008-0000-2300-000006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7" name="1 Grupo">
          <a:extLst>
            <a:ext uri="{FF2B5EF4-FFF2-40B4-BE49-F238E27FC236}">
              <a16:creationId xmlns:a16="http://schemas.microsoft.com/office/drawing/2014/main" id="{958AB1C3-3B3C-425E-A31E-52A66F334CB5}"/>
            </a:ext>
          </a:extLst>
        </xdr:cNvPr>
        <xdr:cNvGrpSpPr>
          <a:grpSpLocks/>
        </xdr:cNvGrpSpPr>
      </xdr:nvGrpSpPr>
      <xdr:grpSpPr bwMode="auto">
        <a:xfrm>
          <a:off x="0" y="0"/>
          <a:ext cx="6422188" cy="1280725"/>
          <a:chOff x="57150" y="47625"/>
          <a:chExt cx="6316603" cy="1200288"/>
        </a:xfrm>
      </xdr:grpSpPr>
      <xdr:pic>
        <xdr:nvPicPr>
          <xdr:cNvPr id="8" name="1 Imagen" descr="ESCUDO-transp-lema-blanco.png">
            <a:extLst>
              <a:ext uri="{FF2B5EF4-FFF2-40B4-BE49-F238E27FC236}">
                <a16:creationId xmlns:a16="http://schemas.microsoft.com/office/drawing/2014/main" id="{1279C031-28D9-4B3F-8CB9-61844F2B78BD}"/>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9" name="3 CuadroTexto">
            <a:extLst>
              <a:ext uri="{FF2B5EF4-FFF2-40B4-BE49-F238E27FC236}">
                <a16:creationId xmlns:a16="http://schemas.microsoft.com/office/drawing/2014/main" id="{C306894D-71D3-4FFA-A89B-69458E30F004}"/>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0" name="1 Grupo">
          <a:extLst>
            <a:ext uri="{FF2B5EF4-FFF2-40B4-BE49-F238E27FC236}">
              <a16:creationId xmlns:a16="http://schemas.microsoft.com/office/drawing/2014/main" id="{C00F6E2E-2E03-425F-A7E6-38BB9ABCF69B}"/>
            </a:ext>
          </a:extLst>
        </xdr:cNvPr>
        <xdr:cNvGrpSpPr>
          <a:grpSpLocks/>
        </xdr:cNvGrpSpPr>
      </xdr:nvGrpSpPr>
      <xdr:grpSpPr bwMode="auto">
        <a:xfrm>
          <a:off x="0" y="0"/>
          <a:ext cx="6422188" cy="1280725"/>
          <a:chOff x="57150" y="47625"/>
          <a:chExt cx="6316603" cy="1200288"/>
        </a:xfrm>
      </xdr:grpSpPr>
      <xdr:pic>
        <xdr:nvPicPr>
          <xdr:cNvPr id="11" name="1 Imagen" descr="ESCUDO-transp-lema-blanco.png">
            <a:extLst>
              <a:ext uri="{FF2B5EF4-FFF2-40B4-BE49-F238E27FC236}">
                <a16:creationId xmlns:a16="http://schemas.microsoft.com/office/drawing/2014/main" id="{C38E1EC9-B300-4FFD-929B-C96DAC65CC12}"/>
              </a:ext>
            </a:extLst>
          </xdr:cNvPr>
          <xdr:cNvPicPr>
            <a:picLocks noChangeAspect="1"/>
          </xdr:cNvPicPr>
        </xdr:nvPicPr>
        <xdr:blipFill>
          <a:blip xmlns:r="http://schemas.openxmlformats.org/officeDocument/2006/relationships" r:embed="rId3"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2" name="3 CuadroTexto">
            <a:extLst>
              <a:ext uri="{FF2B5EF4-FFF2-40B4-BE49-F238E27FC236}">
                <a16:creationId xmlns:a16="http://schemas.microsoft.com/office/drawing/2014/main" id="{81D5390B-F6AC-49D2-941E-679B2E70B0B9}"/>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58616</xdr:rowOff>
    </xdr:from>
    <xdr:to>
      <xdr:col>24</xdr:col>
      <xdr:colOff>696056</xdr:colOff>
      <xdr:row>1</xdr:row>
      <xdr:rowOff>640</xdr:rowOff>
    </xdr:to>
    <xdr:grpSp>
      <xdr:nvGrpSpPr>
        <xdr:cNvPr id="2" name="1 Grupo">
          <a:extLst>
            <a:ext uri="{FF2B5EF4-FFF2-40B4-BE49-F238E27FC236}">
              <a16:creationId xmlns:a16="http://schemas.microsoft.com/office/drawing/2014/main" id="{E8FC3A1B-E62B-4961-936B-C671AACF7BE7}"/>
            </a:ext>
          </a:extLst>
        </xdr:cNvPr>
        <xdr:cNvGrpSpPr>
          <a:grpSpLocks/>
        </xdr:cNvGrpSpPr>
      </xdr:nvGrpSpPr>
      <xdr:grpSpPr bwMode="auto">
        <a:xfrm>
          <a:off x="0" y="58616"/>
          <a:ext cx="36022376" cy="993584"/>
          <a:chOff x="57150" y="170793"/>
          <a:chExt cx="8104898" cy="1863624"/>
        </a:xfrm>
      </xdr:grpSpPr>
      <xdr:pic>
        <xdr:nvPicPr>
          <xdr:cNvPr id="3" name="1 Imagen" descr="ESCUDO-transp-lema-blanco.png">
            <a:extLst>
              <a:ext uri="{FF2B5EF4-FFF2-40B4-BE49-F238E27FC236}">
                <a16:creationId xmlns:a16="http://schemas.microsoft.com/office/drawing/2014/main" id="{189DF15E-5EB3-A9BA-57C8-6EEEE24D516F}"/>
              </a:ext>
            </a:extLst>
          </xdr:cNvPr>
          <xdr:cNvPicPr>
            <a:picLocks noChangeAspect="1"/>
          </xdr:cNvPicPr>
        </xdr:nvPicPr>
        <xdr:blipFill>
          <a:blip xmlns:r="http://schemas.openxmlformats.org/officeDocument/2006/relationships" r:embed="rId1" cstate="print"/>
          <a:srcRect/>
          <a:stretch>
            <a:fillRect/>
          </a:stretch>
        </xdr:blipFill>
        <xdr:spPr bwMode="auto">
          <a:xfrm>
            <a:off x="57150" y="170793"/>
            <a:ext cx="239804" cy="1863624"/>
          </a:xfrm>
          <a:prstGeom prst="rect">
            <a:avLst/>
          </a:prstGeom>
          <a:noFill/>
          <a:ln w="9525">
            <a:noFill/>
            <a:miter lim="800000"/>
            <a:headEnd/>
            <a:tailEnd/>
          </a:ln>
        </xdr:spPr>
      </xdr:pic>
      <xdr:sp macro="" textlink="">
        <xdr:nvSpPr>
          <xdr:cNvPr id="4" name="3 CuadroTexto">
            <a:extLst>
              <a:ext uri="{FF2B5EF4-FFF2-40B4-BE49-F238E27FC236}">
                <a16:creationId xmlns:a16="http://schemas.microsoft.com/office/drawing/2014/main" id="{AC28E677-C1D4-488C-1F9B-E297C11A8F34}"/>
              </a:ext>
            </a:extLst>
          </xdr:cNvPr>
          <xdr:cNvSpPr txBox="1"/>
        </xdr:nvSpPr>
        <xdr:spPr>
          <a:xfrm>
            <a:off x="311869" y="310548"/>
            <a:ext cx="7850179" cy="15537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grpSp>
    <xdr:clientData/>
  </xdr:twoCellAnchor>
  <xdr:oneCellAnchor>
    <xdr:from>
      <xdr:col>0</xdr:col>
      <xdr:colOff>71557</xdr:colOff>
      <xdr:row>0</xdr:row>
      <xdr:rowOff>0</xdr:rowOff>
    </xdr:from>
    <xdr:ext cx="31613386" cy="1047750"/>
    <xdr:grpSp>
      <xdr:nvGrpSpPr>
        <xdr:cNvPr id="5" name="Shape 2">
          <a:extLst>
            <a:ext uri="{FF2B5EF4-FFF2-40B4-BE49-F238E27FC236}">
              <a16:creationId xmlns:a16="http://schemas.microsoft.com/office/drawing/2014/main" id="{637ED030-9AD0-40CD-9A05-19750DA6C983}"/>
            </a:ext>
          </a:extLst>
        </xdr:cNvPr>
        <xdr:cNvGrpSpPr/>
      </xdr:nvGrpSpPr>
      <xdr:grpSpPr>
        <a:xfrm>
          <a:off x="71557" y="0"/>
          <a:ext cx="31613386" cy="1047750"/>
          <a:chOff x="0" y="3256125"/>
          <a:chExt cx="10691970" cy="1047750"/>
        </a:xfrm>
      </xdr:grpSpPr>
      <xdr:grpSp>
        <xdr:nvGrpSpPr>
          <xdr:cNvPr id="6" name="Shape 7">
            <a:extLst>
              <a:ext uri="{FF2B5EF4-FFF2-40B4-BE49-F238E27FC236}">
                <a16:creationId xmlns:a16="http://schemas.microsoft.com/office/drawing/2014/main" id="{A663D3B7-539B-FFF0-6665-0E0030325321}"/>
              </a:ext>
            </a:extLst>
          </xdr:cNvPr>
          <xdr:cNvGrpSpPr/>
        </xdr:nvGrpSpPr>
        <xdr:grpSpPr>
          <a:xfrm>
            <a:off x="0" y="3256125"/>
            <a:ext cx="10691970" cy="1047750"/>
            <a:chOff x="57150" y="170793"/>
            <a:chExt cx="8104875" cy="1863624"/>
          </a:xfrm>
        </xdr:grpSpPr>
        <xdr:sp macro="" textlink="">
          <xdr:nvSpPr>
            <xdr:cNvPr id="7" name="Shape 4">
              <a:extLst>
                <a:ext uri="{FF2B5EF4-FFF2-40B4-BE49-F238E27FC236}">
                  <a16:creationId xmlns:a16="http://schemas.microsoft.com/office/drawing/2014/main" id="{9F450D5C-9584-D60B-FBED-77291D41EE0C}"/>
                </a:ext>
              </a:extLst>
            </xdr:cNvPr>
            <xdr:cNvSpPr/>
          </xdr:nvSpPr>
          <xdr:spPr>
            <a:xfrm>
              <a:off x="57150" y="170793"/>
              <a:ext cx="8104875" cy="1863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8" name="Shape 8" descr="ESCUDO-transp-lema-blanco.png">
              <a:extLst>
                <a:ext uri="{FF2B5EF4-FFF2-40B4-BE49-F238E27FC236}">
                  <a16:creationId xmlns:a16="http://schemas.microsoft.com/office/drawing/2014/main" id="{E731C366-6EBB-94E5-9BC7-EA9A5E408962}"/>
                </a:ext>
              </a:extLst>
            </xdr:cNvPr>
            <xdr:cNvPicPr preferRelativeResize="0"/>
          </xdr:nvPicPr>
          <xdr:blipFill rotWithShape="1">
            <a:blip xmlns:r="http://schemas.openxmlformats.org/officeDocument/2006/relationships" r:embed="rId1">
              <a:alphaModFix/>
            </a:blip>
            <a:srcRect/>
            <a:stretch/>
          </xdr:blipFill>
          <xdr:spPr>
            <a:xfrm>
              <a:off x="57150" y="170793"/>
              <a:ext cx="239804" cy="1863624"/>
            </a:xfrm>
            <a:prstGeom prst="rect">
              <a:avLst/>
            </a:prstGeom>
            <a:noFill/>
            <a:ln>
              <a:noFill/>
            </a:ln>
          </xdr:spPr>
        </xdr:pic>
      </xdr:grpSp>
    </xdr:grpSp>
    <xdr:clientData fLocksWithSheet="0"/>
  </xdr:oneCellAnchor>
  <xdr:oneCellAnchor>
    <xdr:from>
      <xdr:col>0</xdr:col>
      <xdr:colOff>71557</xdr:colOff>
      <xdr:row>0</xdr:row>
      <xdr:rowOff>0</xdr:rowOff>
    </xdr:from>
    <xdr:ext cx="31613386" cy="1047750"/>
    <xdr:grpSp>
      <xdr:nvGrpSpPr>
        <xdr:cNvPr id="9" name="Shape 2">
          <a:extLst>
            <a:ext uri="{FF2B5EF4-FFF2-40B4-BE49-F238E27FC236}">
              <a16:creationId xmlns:a16="http://schemas.microsoft.com/office/drawing/2014/main" id="{47AC8C2B-585B-464F-A734-4A2C8938C14F}"/>
            </a:ext>
          </a:extLst>
        </xdr:cNvPr>
        <xdr:cNvGrpSpPr/>
      </xdr:nvGrpSpPr>
      <xdr:grpSpPr>
        <a:xfrm>
          <a:off x="71557" y="0"/>
          <a:ext cx="31613386" cy="1047750"/>
          <a:chOff x="0" y="3256125"/>
          <a:chExt cx="10691970" cy="1047750"/>
        </a:xfrm>
      </xdr:grpSpPr>
      <xdr:grpSp>
        <xdr:nvGrpSpPr>
          <xdr:cNvPr id="10" name="Shape 7">
            <a:extLst>
              <a:ext uri="{FF2B5EF4-FFF2-40B4-BE49-F238E27FC236}">
                <a16:creationId xmlns:a16="http://schemas.microsoft.com/office/drawing/2014/main" id="{D07EF16B-BF49-6F38-BB55-60043FD89397}"/>
              </a:ext>
            </a:extLst>
          </xdr:cNvPr>
          <xdr:cNvGrpSpPr/>
        </xdr:nvGrpSpPr>
        <xdr:grpSpPr>
          <a:xfrm>
            <a:off x="0" y="3256125"/>
            <a:ext cx="10691970" cy="1047750"/>
            <a:chOff x="57150" y="170793"/>
            <a:chExt cx="8104875" cy="1863624"/>
          </a:xfrm>
        </xdr:grpSpPr>
        <xdr:sp macro="" textlink="">
          <xdr:nvSpPr>
            <xdr:cNvPr id="11" name="Shape 4">
              <a:extLst>
                <a:ext uri="{FF2B5EF4-FFF2-40B4-BE49-F238E27FC236}">
                  <a16:creationId xmlns:a16="http://schemas.microsoft.com/office/drawing/2014/main" id="{E5C2CC4D-C7E4-02A6-F1E3-B20A4422F7F3}"/>
                </a:ext>
              </a:extLst>
            </xdr:cNvPr>
            <xdr:cNvSpPr/>
          </xdr:nvSpPr>
          <xdr:spPr>
            <a:xfrm>
              <a:off x="57150" y="170793"/>
              <a:ext cx="8104875" cy="1863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12" name="Shape 8" descr="ESCUDO-transp-lema-blanco.png">
              <a:extLst>
                <a:ext uri="{FF2B5EF4-FFF2-40B4-BE49-F238E27FC236}">
                  <a16:creationId xmlns:a16="http://schemas.microsoft.com/office/drawing/2014/main" id="{A12EC76C-84F5-E699-2045-F99873515C17}"/>
                </a:ext>
              </a:extLst>
            </xdr:cNvPr>
            <xdr:cNvPicPr preferRelativeResize="0"/>
          </xdr:nvPicPr>
          <xdr:blipFill rotWithShape="1">
            <a:blip xmlns:r="http://schemas.openxmlformats.org/officeDocument/2006/relationships" r:embed="rId1">
              <a:alphaModFix/>
            </a:blip>
            <a:srcRect/>
            <a:stretch/>
          </xdr:blipFill>
          <xdr:spPr>
            <a:xfrm>
              <a:off x="57150" y="170793"/>
              <a:ext cx="239804" cy="1863624"/>
            </a:xfrm>
            <a:prstGeom prst="rect">
              <a:avLst/>
            </a:prstGeom>
            <a:noFill/>
            <a:ln>
              <a:noFill/>
            </a:ln>
          </xdr:spPr>
        </xdr:pic>
      </xdr:grpSp>
    </xdr:grpSp>
    <xdr:clientData fLocksWithSheet="0"/>
  </xdr:oneCellAnchor>
</xdr:wsDr>
</file>

<file path=xl/drawings/drawing5.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872837</xdr:colOff>
      <xdr:row>0</xdr:row>
      <xdr:rowOff>1080392</xdr:rowOff>
    </xdr:to>
    <xdr:pic>
      <xdr:nvPicPr>
        <xdr:cNvPr id="2" name="1 Imagen" descr="ESCUDO-transp-lema-blanco.png">
          <a:extLst>
            <a:ext uri="{FF2B5EF4-FFF2-40B4-BE49-F238E27FC236}">
              <a16:creationId xmlns:a16="http://schemas.microsoft.com/office/drawing/2014/main" id="{9F97D419-E32D-4056-B4E2-4EE95551A0FF}"/>
            </a:ext>
          </a:extLst>
        </xdr:cNvPr>
        <xdr:cNvPicPr>
          <a:picLocks noChangeAspect="1"/>
        </xdr:cNvPicPr>
      </xdr:nvPicPr>
      <xdr:blipFill>
        <a:blip xmlns:r="http://schemas.openxmlformats.org/officeDocument/2006/relationships" r:embed="rId1" cstate="print"/>
        <a:srcRect/>
        <a:stretch>
          <a:fillRect/>
        </a:stretch>
      </xdr:blipFill>
      <xdr:spPr bwMode="auto">
        <a:xfrm>
          <a:off x="1" y="0"/>
          <a:ext cx="872836" cy="1080392"/>
        </a:xfrm>
        <a:prstGeom prst="rect">
          <a:avLst/>
        </a:prstGeom>
        <a:noFill/>
        <a:ln w="9525">
          <a:noFill/>
          <a:miter lim="800000"/>
          <a:headEnd/>
          <a:tailEnd/>
        </a:ln>
      </xdr:spPr>
    </xdr:pic>
    <xdr:clientData/>
  </xdr:twoCellAnchor>
  <xdr:twoCellAnchor>
    <xdr:from>
      <xdr:col>0</xdr:col>
      <xdr:colOff>1266825</xdr:colOff>
      <xdr:row>0</xdr:row>
      <xdr:rowOff>428625</xdr:rowOff>
    </xdr:from>
    <xdr:to>
      <xdr:col>1</xdr:col>
      <xdr:colOff>2924175</xdr:colOff>
      <xdr:row>0</xdr:row>
      <xdr:rowOff>1200150</xdr:rowOff>
    </xdr:to>
    <xdr:sp macro="" textlink="">
      <xdr:nvSpPr>
        <xdr:cNvPr id="3" name="3 CuadroTexto">
          <a:extLst>
            <a:ext uri="{FF2B5EF4-FFF2-40B4-BE49-F238E27FC236}">
              <a16:creationId xmlns:a16="http://schemas.microsoft.com/office/drawing/2014/main" id="{C9F7962A-9E95-4A39-9AAD-E8303E5463F4}"/>
            </a:ext>
          </a:extLst>
        </xdr:cNvPr>
        <xdr:cNvSpPr txBox="1"/>
      </xdr:nvSpPr>
      <xdr:spPr bwMode="auto">
        <a:xfrm>
          <a:off x="1266825" y="428625"/>
          <a:ext cx="4911090"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1</xdr:row>
      <xdr:rowOff>0</xdr:rowOff>
    </xdr:to>
    <xdr:grpSp>
      <xdr:nvGrpSpPr>
        <xdr:cNvPr id="2" name="1 Grupo">
          <a:extLst>
            <a:ext uri="{FF2B5EF4-FFF2-40B4-BE49-F238E27FC236}">
              <a16:creationId xmlns:a16="http://schemas.microsoft.com/office/drawing/2014/main" id="{00000000-0008-0000-0800-000002000000}"/>
            </a:ext>
          </a:extLst>
        </xdr:cNvPr>
        <xdr:cNvGrpSpPr>
          <a:grpSpLocks/>
        </xdr:cNvGrpSpPr>
      </xdr:nvGrpSpPr>
      <xdr:grpSpPr bwMode="auto">
        <a:xfrm>
          <a:off x="0" y="0"/>
          <a:ext cx="9403080" cy="1661160"/>
          <a:chOff x="57150" y="47625"/>
          <a:chExt cx="6181725" cy="1581150"/>
        </a:xfrm>
      </xdr:grpSpPr>
      <xdr:pic>
        <xdr:nvPicPr>
          <xdr:cNvPr id="3" name="1 Imagen" descr="ESCUDO-transp-lema-blanco.png">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57150" y="47625"/>
            <a:ext cx="1209675" cy="1581150"/>
          </a:xfrm>
          <a:prstGeom prst="rect">
            <a:avLst/>
          </a:prstGeom>
          <a:noFill/>
          <a:ln w="9525">
            <a:noFill/>
            <a:miter lim="800000"/>
            <a:headEnd/>
            <a:tailEnd/>
          </a:ln>
        </xdr:spPr>
      </xdr:pic>
      <xdr:sp macro="" textlink="">
        <xdr:nvSpPr>
          <xdr:cNvPr id="4" name="3 CuadroTexto">
            <a:extLst>
              <a:ext uri="{FF2B5EF4-FFF2-40B4-BE49-F238E27FC236}">
                <a16:creationId xmlns:a16="http://schemas.microsoft.com/office/drawing/2014/main" id="{00000000-0008-0000-0800-000004000000}"/>
              </a:ext>
            </a:extLst>
          </xdr:cNvPr>
          <xdr:cNvSpPr txBox="1"/>
        </xdr:nvSpPr>
        <xdr:spPr>
          <a:xfrm>
            <a:off x="1426640" y="495300"/>
            <a:ext cx="4812235"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0</xdr:colOff>
      <xdr:row>128</xdr:row>
      <xdr:rowOff>167640</xdr:rowOff>
    </xdr:from>
    <xdr:to>
      <xdr:col>5</xdr:col>
      <xdr:colOff>84107</xdr:colOff>
      <xdr:row>129</xdr:row>
      <xdr:rowOff>121932</xdr:rowOff>
    </xdr:to>
    <xdr:pic>
      <xdr:nvPicPr>
        <xdr:cNvPr id="2" name="Imagen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2117" y="38500905"/>
          <a:ext cx="3310944" cy="148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373381</xdr:colOff>
      <xdr:row>163</xdr:row>
      <xdr:rowOff>38100</xdr:rowOff>
    </xdr:from>
    <xdr:to>
      <xdr:col>3</xdr:col>
      <xdr:colOff>1257378</xdr:colOff>
      <xdr:row>164</xdr:row>
      <xdr:rowOff>68598</xdr:rowOff>
    </xdr:to>
    <xdr:pic>
      <xdr:nvPicPr>
        <xdr:cNvPr id="3" name="Imagen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85498" y="45612309"/>
          <a:ext cx="883997" cy="234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137161</xdr:colOff>
      <xdr:row>171</xdr:row>
      <xdr:rowOff>38100</xdr:rowOff>
    </xdr:from>
    <xdr:to>
      <xdr:col>3</xdr:col>
      <xdr:colOff>1691776</xdr:colOff>
      <xdr:row>171</xdr:row>
      <xdr:rowOff>192431</xdr:rowOff>
    </xdr:to>
    <xdr:pic>
      <xdr:nvPicPr>
        <xdr:cNvPr id="4" name="Imagen 3">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449278" y="47332641"/>
          <a:ext cx="1554615" cy="1543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228601</xdr:colOff>
      <xdr:row>63</xdr:row>
      <xdr:rowOff>53340</xdr:rowOff>
    </xdr:from>
    <xdr:to>
      <xdr:col>5</xdr:col>
      <xdr:colOff>312708</xdr:colOff>
      <xdr:row>63</xdr:row>
      <xdr:rowOff>171462</xdr:rowOff>
    </xdr:to>
    <xdr:pic>
      <xdr:nvPicPr>
        <xdr:cNvPr id="5" name="Imagen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40718" y="23331274"/>
          <a:ext cx="3310944" cy="1181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0</xdr:row>
      <xdr:rowOff>1261675</xdr:rowOff>
    </xdr:to>
    <xdr:grpSp>
      <xdr:nvGrpSpPr>
        <xdr:cNvPr id="6" name="1 Grupo">
          <a:extLst>
            <a:ext uri="{FF2B5EF4-FFF2-40B4-BE49-F238E27FC236}">
              <a16:creationId xmlns:a16="http://schemas.microsoft.com/office/drawing/2014/main" id="{00000000-0008-0000-0900-000006000000}"/>
            </a:ext>
          </a:extLst>
        </xdr:cNvPr>
        <xdr:cNvGrpSpPr>
          <a:grpSpLocks/>
        </xdr:cNvGrpSpPr>
      </xdr:nvGrpSpPr>
      <xdr:grpSpPr bwMode="auto">
        <a:xfrm>
          <a:off x="0" y="0"/>
          <a:ext cx="6906905" cy="1261675"/>
          <a:chOff x="57150" y="47625"/>
          <a:chExt cx="6316603" cy="1200288"/>
        </a:xfrm>
      </xdr:grpSpPr>
      <xdr:pic>
        <xdr:nvPicPr>
          <xdr:cNvPr id="7" name="1 Imagen" descr="ESCUDO-transp-lema-blanco.png">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4"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8" name="3 CuadroTexto">
            <a:extLst>
              <a:ext uri="{FF2B5EF4-FFF2-40B4-BE49-F238E27FC236}">
                <a16:creationId xmlns:a16="http://schemas.microsoft.com/office/drawing/2014/main" id="{00000000-0008-0000-0900-000008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s-CO" sz="1400" b="1">
                <a:solidFill>
                  <a:schemeClr val="bg1"/>
                </a:solidFill>
                <a:latin typeface="Arial Narrow" pitchFamily="34" charset="0"/>
              </a:rPr>
              <a:t>Ministerio</a:t>
            </a:r>
            <a:r>
              <a:rPr lang="es-CO" sz="1400" b="1" baseline="0">
                <a:solidFill>
                  <a:schemeClr val="bg1"/>
                </a:solidFill>
                <a:latin typeface="Arial Narrow" pitchFamily="34" charset="0"/>
              </a:rPr>
              <a:t> de Ambiente y Desarrollo Sostenible</a:t>
            </a:r>
          </a:p>
          <a:p>
            <a:r>
              <a:rPr lang="es-CO" sz="1100" baseline="0">
                <a:solidFill>
                  <a:schemeClr val="bg1"/>
                </a:solidFill>
                <a:latin typeface="Arial Narrow" pitchFamily="34" charset="0"/>
              </a:rPr>
              <a:t>Dirección de Ordenamiento Ambiental Territorial y del SINA</a:t>
            </a:r>
          </a:p>
          <a:p>
            <a:r>
              <a:rPr lang="es-CO" sz="1000" baseline="0">
                <a:solidFill>
                  <a:schemeClr val="bg1"/>
                </a:solidFill>
                <a:latin typeface="Arial Narrow" pitchFamily="34" charset="0"/>
              </a:rPr>
              <a:t>República de Colombia</a:t>
            </a:r>
            <a:endParaRPr lang="es-CO" sz="1000">
              <a:solidFill>
                <a:schemeClr val="bg1"/>
              </a:solidFill>
              <a:latin typeface="Arial Narrow" pitchFamily="34" charset="0"/>
            </a:endParaRP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9" name="1 Grupo">
          <a:extLst>
            <a:ext uri="{FF2B5EF4-FFF2-40B4-BE49-F238E27FC236}">
              <a16:creationId xmlns:a16="http://schemas.microsoft.com/office/drawing/2014/main" id="{5DAB9065-DE37-4491-A781-DA77E69BF44C}"/>
            </a:ext>
          </a:extLst>
        </xdr:cNvPr>
        <xdr:cNvGrpSpPr>
          <a:grpSpLocks/>
        </xdr:cNvGrpSpPr>
      </xdr:nvGrpSpPr>
      <xdr:grpSpPr bwMode="auto">
        <a:xfrm>
          <a:off x="0" y="0"/>
          <a:ext cx="6906905" cy="1274375"/>
          <a:chOff x="57150" y="47625"/>
          <a:chExt cx="6316603" cy="1200288"/>
        </a:xfrm>
      </xdr:grpSpPr>
      <xdr:pic>
        <xdr:nvPicPr>
          <xdr:cNvPr id="10" name="1 Imagen" descr="ESCUDO-transp-lema-blanco.png">
            <a:extLst>
              <a:ext uri="{FF2B5EF4-FFF2-40B4-BE49-F238E27FC236}">
                <a16:creationId xmlns:a16="http://schemas.microsoft.com/office/drawing/2014/main" id="{1E124E96-CD57-4EF8-BFA8-4A02A260C44E}"/>
              </a:ext>
            </a:extLst>
          </xdr:cNvPr>
          <xdr:cNvPicPr>
            <a:picLocks noChangeAspect="1"/>
          </xdr:cNvPicPr>
        </xdr:nvPicPr>
        <xdr:blipFill>
          <a:blip xmlns:r="http://schemas.openxmlformats.org/officeDocument/2006/relationships" r:embed="rId4"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1" name="3 CuadroTexto">
            <a:extLst>
              <a:ext uri="{FF2B5EF4-FFF2-40B4-BE49-F238E27FC236}">
                <a16:creationId xmlns:a16="http://schemas.microsoft.com/office/drawing/2014/main" id="{8B3775CD-2BDF-4DF8-BD85-DC89B2D9F601}"/>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2" name="1 Grupo">
          <a:extLst>
            <a:ext uri="{FF2B5EF4-FFF2-40B4-BE49-F238E27FC236}">
              <a16:creationId xmlns:a16="http://schemas.microsoft.com/office/drawing/2014/main" id="{548D9731-8240-4DE4-9B17-399BB8940AC6}"/>
            </a:ext>
          </a:extLst>
        </xdr:cNvPr>
        <xdr:cNvGrpSpPr>
          <a:grpSpLocks/>
        </xdr:cNvGrpSpPr>
      </xdr:nvGrpSpPr>
      <xdr:grpSpPr bwMode="auto">
        <a:xfrm>
          <a:off x="0" y="0"/>
          <a:ext cx="6906905" cy="1274375"/>
          <a:chOff x="57150" y="47625"/>
          <a:chExt cx="6316603" cy="1200288"/>
        </a:xfrm>
      </xdr:grpSpPr>
      <xdr:pic>
        <xdr:nvPicPr>
          <xdr:cNvPr id="13" name="1 Imagen" descr="ESCUDO-transp-lema-blanco.png">
            <a:extLst>
              <a:ext uri="{FF2B5EF4-FFF2-40B4-BE49-F238E27FC236}">
                <a16:creationId xmlns:a16="http://schemas.microsoft.com/office/drawing/2014/main" id="{02CC8373-9F3E-45A0-9E4D-7E22CC321C18}"/>
              </a:ext>
            </a:extLst>
          </xdr:cNvPr>
          <xdr:cNvPicPr>
            <a:picLocks noChangeAspect="1"/>
          </xdr:cNvPicPr>
        </xdr:nvPicPr>
        <xdr:blipFill>
          <a:blip xmlns:r="http://schemas.openxmlformats.org/officeDocument/2006/relationships" r:embed="rId4"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4" name="3 CuadroTexto">
            <a:extLst>
              <a:ext uri="{FF2B5EF4-FFF2-40B4-BE49-F238E27FC236}">
                <a16:creationId xmlns:a16="http://schemas.microsoft.com/office/drawing/2014/main" id="{91A51F2B-5949-45C8-BB8F-6F64260B074C}"/>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5" name="1 Grupo">
          <a:extLst>
            <a:ext uri="{FF2B5EF4-FFF2-40B4-BE49-F238E27FC236}">
              <a16:creationId xmlns:a16="http://schemas.microsoft.com/office/drawing/2014/main" id="{7B28E9BF-F5F0-4B16-A074-086E292D2298}"/>
            </a:ext>
          </a:extLst>
        </xdr:cNvPr>
        <xdr:cNvGrpSpPr>
          <a:grpSpLocks/>
        </xdr:cNvGrpSpPr>
      </xdr:nvGrpSpPr>
      <xdr:grpSpPr bwMode="auto">
        <a:xfrm>
          <a:off x="0" y="0"/>
          <a:ext cx="6906905" cy="1274375"/>
          <a:chOff x="57150" y="47625"/>
          <a:chExt cx="6316603" cy="1200288"/>
        </a:xfrm>
      </xdr:grpSpPr>
      <xdr:pic>
        <xdr:nvPicPr>
          <xdr:cNvPr id="16" name="1 Imagen" descr="ESCUDO-transp-lema-blanco.png">
            <a:extLst>
              <a:ext uri="{FF2B5EF4-FFF2-40B4-BE49-F238E27FC236}">
                <a16:creationId xmlns:a16="http://schemas.microsoft.com/office/drawing/2014/main" id="{13585EDA-F62B-41A1-B1E4-376BA31EAD12}"/>
              </a:ext>
            </a:extLst>
          </xdr:cNvPr>
          <xdr:cNvPicPr>
            <a:picLocks noChangeAspect="1"/>
          </xdr:cNvPicPr>
        </xdr:nvPicPr>
        <xdr:blipFill>
          <a:blip xmlns:r="http://schemas.openxmlformats.org/officeDocument/2006/relationships" r:embed="rId4"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7" name="3 CuadroTexto">
            <a:extLst>
              <a:ext uri="{FF2B5EF4-FFF2-40B4-BE49-F238E27FC236}">
                <a16:creationId xmlns:a16="http://schemas.microsoft.com/office/drawing/2014/main" id="{659EBC4F-5E81-46EF-A02A-30299A10B915}"/>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601981</xdr:colOff>
      <xdr:row>68</xdr:row>
      <xdr:rowOff>0</xdr:rowOff>
    </xdr:from>
    <xdr:to>
      <xdr:col>3</xdr:col>
      <xdr:colOff>2065148</xdr:colOff>
      <xdr:row>69</xdr:row>
      <xdr:rowOff>83843</xdr:rowOff>
    </xdr:to>
    <xdr:pic>
      <xdr:nvPicPr>
        <xdr:cNvPr id="2" name="Imagen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889761" y="16245840"/>
          <a:ext cx="1463167" cy="266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0A00-000003000000}"/>
            </a:ext>
          </a:extLst>
        </xdr:cNvPr>
        <xdr:cNvGrpSpPr>
          <a:grpSpLocks/>
        </xdr:cNvGrpSpPr>
      </xdr:nvGrpSpPr>
      <xdr:grpSpPr bwMode="auto">
        <a:xfrm>
          <a:off x="0" y="0"/>
          <a:ext cx="5808311" cy="1279559"/>
          <a:chOff x="57150" y="47625"/>
          <a:chExt cx="6316603" cy="1200288"/>
        </a:xfrm>
      </xdr:grpSpPr>
      <xdr:pic>
        <xdr:nvPicPr>
          <xdr:cNvPr id="4" name="1 Imagen" descr="ESCUDO-transp-lema-blanco.png">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0A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6" name="1 Grupo">
          <a:extLst>
            <a:ext uri="{FF2B5EF4-FFF2-40B4-BE49-F238E27FC236}">
              <a16:creationId xmlns:a16="http://schemas.microsoft.com/office/drawing/2014/main" id="{FDA10A9C-DA23-495E-8ED0-E214B8256292}"/>
            </a:ext>
          </a:extLst>
        </xdr:cNvPr>
        <xdr:cNvGrpSpPr>
          <a:grpSpLocks/>
        </xdr:cNvGrpSpPr>
      </xdr:nvGrpSpPr>
      <xdr:grpSpPr bwMode="auto">
        <a:xfrm>
          <a:off x="0" y="0"/>
          <a:ext cx="5808311" cy="1279559"/>
          <a:chOff x="57150" y="47625"/>
          <a:chExt cx="6316603" cy="1200288"/>
        </a:xfrm>
      </xdr:grpSpPr>
      <xdr:pic>
        <xdr:nvPicPr>
          <xdr:cNvPr id="7" name="1 Imagen" descr="ESCUDO-transp-lema-blanco.png">
            <a:extLst>
              <a:ext uri="{FF2B5EF4-FFF2-40B4-BE49-F238E27FC236}">
                <a16:creationId xmlns:a16="http://schemas.microsoft.com/office/drawing/2014/main" id="{D0FEBF8F-7E70-4851-ABC2-F53E1B4EBF9F}"/>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8" name="3 CuadroTexto">
            <a:extLst>
              <a:ext uri="{FF2B5EF4-FFF2-40B4-BE49-F238E27FC236}">
                <a16:creationId xmlns:a16="http://schemas.microsoft.com/office/drawing/2014/main" id="{0883B276-3AB6-4226-9518-759E032C19A9}"/>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9" name="1 Grupo">
          <a:extLst>
            <a:ext uri="{FF2B5EF4-FFF2-40B4-BE49-F238E27FC236}">
              <a16:creationId xmlns:a16="http://schemas.microsoft.com/office/drawing/2014/main" id="{7EBEE7D8-814F-4131-AE98-27C723344752}"/>
            </a:ext>
          </a:extLst>
        </xdr:cNvPr>
        <xdr:cNvGrpSpPr>
          <a:grpSpLocks/>
        </xdr:cNvGrpSpPr>
      </xdr:nvGrpSpPr>
      <xdr:grpSpPr bwMode="auto">
        <a:xfrm>
          <a:off x="0" y="0"/>
          <a:ext cx="5808311" cy="1279559"/>
          <a:chOff x="57150" y="47625"/>
          <a:chExt cx="6316603" cy="1200288"/>
        </a:xfrm>
      </xdr:grpSpPr>
      <xdr:pic>
        <xdr:nvPicPr>
          <xdr:cNvPr id="10" name="1 Imagen" descr="ESCUDO-transp-lema-blanco.png">
            <a:extLst>
              <a:ext uri="{FF2B5EF4-FFF2-40B4-BE49-F238E27FC236}">
                <a16:creationId xmlns:a16="http://schemas.microsoft.com/office/drawing/2014/main" id="{D6DCADE6-8079-4C6D-9628-27EB17B26D9E}"/>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1" name="3 CuadroTexto">
            <a:extLst>
              <a:ext uri="{FF2B5EF4-FFF2-40B4-BE49-F238E27FC236}">
                <a16:creationId xmlns:a16="http://schemas.microsoft.com/office/drawing/2014/main" id="{9A546005-74D6-4F6C-A49C-A3D0A6AD263C}"/>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2" name="1 Grupo">
          <a:extLst>
            <a:ext uri="{FF2B5EF4-FFF2-40B4-BE49-F238E27FC236}">
              <a16:creationId xmlns:a16="http://schemas.microsoft.com/office/drawing/2014/main" id="{ED5A222D-8963-4D0F-9BAD-D6CDFAC4A88E}"/>
            </a:ext>
          </a:extLst>
        </xdr:cNvPr>
        <xdr:cNvGrpSpPr>
          <a:grpSpLocks/>
        </xdr:cNvGrpSpPr>
      </xdr:nvGrpSpPr>
      <xdr:grpSpPr bwMode="auto">
        <a:xfrm>
          <a:off x="0" y="0"/>
          <a:ext cx="5808311" cy="1279559"/>
          <a:chOff x="57150" y="47625"/>
          <a:chExt cx="6316603" cy="1200288"/>
        </a:xfrm>
      </xdr:grpSpPr>
      <xdr:pic>
        <xdr:nvPicPr>
          <xdr:cNvPr id="13" name="1 Imagen" descr="ESCUDO-transp-lema-blanco.png">
            <a:extLst>
              <a:ext uri="{FF2B5EF4-FFF2-40B4-BE49-F238E27FC236}">
                <a16:creationId xmlns:a16="http://schemas.microsoft.com/office/drawing/2014/main" id="{D72093D8-2304-4B75-9683-B556B0D73E41}"/>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4" name="3 CuadroTexto">
            <a:extLst>
              <a:ext uri="{FF2B5EF4-FFF2-40B4-BE49-F238E27FC236}">
                <a16:creationId xmlns:a16="http://schemas.microsoft.com/office/drawing/2014/main" id="{33787D3C-59B7-47F1-B64A-CEEF1087844A}"/>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186612</xdr:colOff>
      <xdr:row>61</xdr:row>
      <xdr:rowOff>124408</xdr:rowOff>
    </xdr:from>
    <xdr:to>
      <xdr:col>2</xdr:col>
      <xdr:colOff>1772319</xdr:colOff>
      <xdr:row>63</xdr:row>
      <xdr:rowOff>23241</xdr:rowOff>
    </xdr:to>
    <xdr:pic>
      <xdr:nvPicPr>
        <xdr:cNvPr id="2" name="Imagen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99592" y="19244388"/>
          <a:ext cx="1585707" cy="2720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6</xdr:col>
      <xdr:colOff>116638</xdr:colOff>
      <xdr:row>1</xdr:row>
      <xdr:rowOff>4375</xdr:rowOff>
    </xdr:to>
    <xdr:grpSp>
      <xdr:nvGrpSpPr>
        <xdr:cNvPr id="3" name="1 Grupo">
          <a:extLst>
            <a:ext uri="{FF2B5EF4-FFF2-40B4-BE49-F238E27FC236}">
              <a16:creationId xmlns:a16="http://schemas.microsoft.com/office/drawing/2014/main" id="{00000000-0008-0000-0B00-000003000000}"/>
            </a:ext>
          </a:extLst>
        </xdr:cNvPr>
        <xdr:cNvGrpSpPr>
          <a:grpSpLocks/>
        </xdr:cNvGrpSpPr>
      </xdr:nvGrpSpPr>
      <xdr:grpSpPr bwMode="auto">
        <a:xfrm>
          <a:off x="0" y="0"/>
          <a:ext cx="5971597" cy="1279559"/>
          <a:chOff x="57150" y="47625"/>
          <a:chExt cx="6316603" cy="1200288"/>
        </a:xfrm>
      </xdr:grpSpPr>
      <xdr:pic>
        <xdr:nvPicPr>
          <xdr:cNvPr id="4" name="1 Imagen" descr="ESCUDO-transp-lema-blanco.png">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5" name="3 CuadroTexto">
            <a:extLst>
              <a:ext uri="{FF2B5EF4-FFF2-40B4-BE49-F238E27FC236}">
                <a16:creationId xmlns:a16="http://schemas.microsoft.com/office/drawing/2014/main" id="{00000000-0008-0000-0B00-000005000000}"/>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6" name="1 Grupo">
          <a:extLst>
            <a:ext uri="{FF2B5EF4-FFF2-40B4-BE49-F238E27FC236}">
              <a16:creationId xmlns:a16="http://schemas.microsoft.com/office/drawing/2014/main" id="{4D409143-614F-4484-8491-A572DDC56C49}"/>
            </a:ext>
          </a:extLst>
        </xdr:cNvPr>
        <xdr:cNvGrpSpPr>
          <a:grpSpLocks/>
        </xdr:cNvGrpSpPr>
      </xdr:nvGrpSpPr>
      <xdr:grpSpPr bwMode="auto">
        <a:xfrm>
          <a:off x="0" y="0"/>
          <a:ext cx="5971597" cy="1279559"/>
          <a:chOff x="57150" y="47625"/>
          <a:chExt cx="6316603" cy="1200288"/>
        </a:xfrm>
      </xdr:grpSpPr>
      <xdr:pic>
        <xdr:nvPicPr>
          <xdr:cNvPr id="7" name="1 Imagen" descr="ESCUDO-transp-lema-blanco.png">
            <a:extLst>
              <a:ext uri="{FF2B5EF4-FFF2-40B4-BE49-F238E27FC236}">
                <a16:creationId xmlns:a16="http://schemas.microsoft.com/office/drawing/2014/main" id="{967902F1-B2F6-428B-9580-ABB9A144F8A8}"/>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8" name="3 CuadroTexto">
            <a:extLst>
              <a:ext uri="{FF2B5EF4-FFF2-40B4-BE49-F238E27FC236}">
                <a16:creationId xmlns:a16="http://schemas.microsoft.com/office/drawing/2014/main" id="{66E40C88-47AD-43C5-A2FF-FE6431C16BAF}"/>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9" name="1 Grupo">
          <a:extLst>
            <a:ext uri="{FF2B5EF4-FFF2-40B4-BE49-F238E27FC236}">
              <a16:creationId xmlns:a16="http://schemas.microsoft.com/office/drawing/2014/main" id="{6D654F85-1A7F-42B3-ADA5-3F73D9392FD3}"/>
            </a:ext>
          </a:extLst>
        </xdr:cNvPr>
        <xdr:cNvGrpSpPr>
          <a:grpSpLocks/>
        </xdr:cNvGrpSpPr>
      </xdr:nvGrpSpPr>
      <xdr:grpSpPr bwMode="auto">
        <a:xfrm>
          <a:off x="0" y="0"/>
          <a:ext cx="5971597" cy="1279559"/>
          <a:chOff x="57150" y="47625"/>
          <a:chExt cx="6316603" cy="1200288"/>
        </a:xfrm>
      </xdr:grpSpPr>
      <xdr:pic>
        <xdr:nvPicPr>
          <xdr:cNvPr id="10" name="1 Imagen" descr="ESCUDO-transp-lema-blanco.png">
            <a:extLst>
              <a:ext uri="{FF2B5EF4-FFF2-40B4-BE49-F238E27FC236}">
                <a16:creationId xmlns:a16="http://schemas.microsoft.com/office/drawing/2014/main" id="{F7E8429C-220D-4292-AF1B-76287DD36384}"/>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1" name="3 CuadroTexto">
            <a:extLst>
              <a:ext uri="{FF2B5EF4-FFF2-40B4-BE49-F238E27FC236}">
                <a16:creationId xmlns:a16="http://schemas.microsoft.com/office/drawing/2014/main" id="{B691C352-A14B-4B5C-A327-0AFDB047A0B1}"/>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twoCellAnchor>
    <xdr:from>
      <xdr:col>0</xdr:col>
      <xdr:colOff>0</xdr:colOff>
      <xdr:row>0</xdr:row>
      <xdr:rowOff>0</xdr:rowOff>
    </xdr:from>
    <xdr:to>
      <xdr:col>6</xdr:col>
      <xdr:colOff>116638</xdr:colOff>
      <xdr:row>1</xdr:row>
      <xdr:rowOff>4375</xdr:rowOff>
    </xdr:to>
    <xdr:grpSp>
      <xdr:nvGrpSpPr>
        <xdr:cNvPr id="12" name="1 Grupo">
          <a:extLst>
            <a:ext uri="{FF2B5EF4-FFF2-40B4-BE49-F238E27FC236}">
              <a16:creationId xmlns:a16="http://schemas.microsoft.com/office/drawing/2014/main" id="{12582488-EE5D-45E8-B00E-AA0244F1643D}"/>
            </a:ext>
          </a:extLst>
        </xdr:cNvPr>
        <xdr:cNvGrpSpPr>
          <a:grpSpLocks/>
        </xdr:cNvGrpSpPr>
      </xdr:nvGrpSpPr>
      <xdr:grpSpPr bwMode="auto">
        <a:xfrm>
          <a:off x="0" y="0"/>
          <a:ext cx="5971597" cy="1279559"/>
          <a:chOff x="57150" y="47625"/>
          <a:chExt cx="6316603" cy="1200288"/>
        </a:xfrm>
      </xdr:grpSpPr>
      <xdr:pic>
        <xdr:nvPicPr>
          <xdr:cNvPr id="13" name="1 Imagen" descr="ESCUDO-transp-lema-blanco.png">
            <a:extLst>
              <a:ext uri="{FF2B5EF4-FFF2-40B4-BE49-F238E27FC236}">
                <a16:creationId xmlns:a16="http://schemas.microsoft.com/office/drawing/2014/main" id="{E876490B-737E-46DF-93EC-F6BCD9EDD80B}"/>
              </a:ext>
            </a:extLst>
          </xdr:cNvPr>
          <xdr:cNvPicPr>
            <a:picLocks noChangeAspect="1"/>
          </xdr:cNvPicPr>
        </xdr:nvPicPr>
        <xdr:blipFill>
          <a:blip xmlns:r="http://schemas.openxmlformats.org/officeDocument/2006/relationships" r:embed="rId2" cstate="print"/>
          <a:srcRect/>
          <a:stretch>
            <a:fillRect/>
          </a:stretch>
        </xdr:blipFill>
        <xdr:spPr bwMode="auto">
          <a:xfrm>
            <a:off x="57150" y="47625"/>
            <a:ext cx="1168907" cy="1200288"/>
          </a:xfrm>
          <a:prstGeom prst="rect">
            <a:avLst/>
          </a:prstGeom>
          <a:noFill/>
          <a:ln w="9525">
            <a:noFill/>
            <a:miter lim="800000"/>
            <a:headEnd/>
            <a:tailEnd/>
          </a:ln>
        </xdr:spPr>
      </xdr:pic>
      <xdr:sp macro="" textlink="">
        <xdr:nvSpPr>
          <xdr:cNvPr id="14" name="3 CuadroTexto">
            <a:extLst>
              <a:ext uri="{FF2B5EF4-FFF2-40B4-BE49-F238E27FC236}">
                <a16:creationId xmlns:a16="http://schemas.microsoft.com/office/drawing/2014/main" id="{A3E2E62D-1AC2-4664-BED3-4041FC6B92F9}"/>
              </a:ext>
            </a:extLst>
          </xdr:cNvPr>
          <xdr:cNvSpPr txBox="1"/>
        </xdr:nvSpPr>
        <xdr:spPr>
          <a:xfrm>
            <a:off x="1561515" y="199413"/>
            <a:ext cx="4812238"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CO" sz="1400" b="1" i="0" u="none" strike="noStrike" kern="0" cap="none" spc="0" normalizeH="0" baseline="0" noProof="0">
                <a:ln>
                  <a:noFill/>
                </a:ln>
                <a:solidFill>
                  <a:prstClr val="white"/>
                </a:solidFill>
                <a:effectLst/>
                <a:uLnTx/>
                <a:uFillTx/>
                <a:latin typeface="Arial Narrow" pitchFamily="34" charset="0"/>
                <a:ea typeface="+mn-ea"/>
                <a:cs typeface="+mn-cs"/>
              </a:rPr>
              <a:t>Ministerio de Ambiente y Desarrollo Sostenible</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100" b="0" i="0" u="none" strike="noStrike" kern="0" cap="none" spc="0" normalizeH="0" baseline="0" noProof="0">
                <a:ln>
                  <a:noFill/>
                </a:ln>
                <a:solidFill>
                  <a:prstClr val="white"/>
                </a:solidFill>
                <a:effectLst/>
                <a:uLnTx/>
                <a:uFillTx/>
                <a:latin typeface="Arial Narrow" pitchFamily="34" charset="0"/>
                <a:ea typeface="+mn-ea"/>
                <a:cs typeface="+mn-cs"/>
              </a:rPr>
              <a:t>Dirección de Ordenamiento Ambiental Territorial y del SINA</a:t>
            </a:r>
          </a:p>
          <a:p>
            <a:pPr marL="0" marR="0" lvl="0" indent="0" defTabSz="914400" eaLnBrk="1" fontAlgn="auto" latinLnBrk="0" hangingPunct="1">
              <a:lnSpc>
                <a:spcPct val="100000"/>
              </a:lnSpc>
              <a:spcBef>
                <a:spcPts val="0"/>
              </a:spcBef>
              <a:spcAft>
                <a:spcPts val="0"/>
              </a:spcAft>
              <a:buClrTx/>
              <a:buSzTx/>
              <a:buFontTx/>
              <a:buNone/>
              <a:tabLst/>
              <a:defRPr/>
            </a:pPr>
            <a:r>
              <a:rPr kumimoji="0" lang="es-CO" sz="1000" b="0" i="0" u="none" strike="noStrike" kern="0" cap="none" spc="0" normalizeH="0" baseline="0" noProof="0">
                <a:ln>
                  <a:noFill/>
                </a:ln>
                <a:solidFill>
                  <a:prstClr val="white"/>
                </a:solidFill>
                <a:effectLst/>
                <a:uLnTx/>
                <a:uFillTx/>
                <a:latin typeface="Arial Narrow" pitchFamily="34" charset="0"/>
                <a:ea typeface="+mn-ea"/>
                <a:cs typeface="+mn-cs"/>
              </a:rPr>
              <a:t>República de Colombia</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RPLA04\Archivos%20Planeacion%20(OK)\2020\Informe%20de%20Gestion%20con%20corte%2031-Diciembre-2020\6.%20Formatos%20SINA%20-%20PAI%202020-2023%20seguimiento%20PAC%20(V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crautonomagovco-my.sharepoint.com/archivos/Documentos/MADS/2022/INFORMES%20DE%20GESTI&#211;N%202021/2_CRA/AJUSTES/3.%20Formatos%20SINA%20-%20PAI%202021_CRA_20042022_en%20rev%20-Rafael%20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rchivos\Documentos\MADS\2022\INFORMES%20DE%20GESTI&#211;N%202021\2_CRA\Revisiones\Ajustes_20042022\3.%20Formatos%20SINA%20-%20PAI%202021_CRA_20042022_en%20rev%20-Rafael%20V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rchivos\Documentos\MADS\2022\INFORMES%20DE%20GESTI&#211;N%202021\1_CRA\VERSI&#211;N%20FINAL%20CRA\2.%20Formatos%20SINA%20-%20PAI%202021-%20CRA_13052022_OK.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D:\archivos\Documentos\MADS\FORMATOS\INFORMES%20DE%20GESTI&#211;N%202021\Formatos%20SINA%20-%20PAI_Vs%202023.xlsx" TargetMode="External"/><Relationship Id="rId1" Type="http://schemas.openxmlformats.org/officeDocument/2006/relationships/externalLinkPath" Target="file:///D:\archivos\Documentos\MADS\FORMATOS\INFORMES%20DE%20GESTI&#211;N%202021\Formatos%20SINA%20-%20PAI_Vs%2020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rchivos\Documentos\MADS\CARS\1_CRA\INFORMES%20GESTION\GESTION%202020\Matriz%20seguimiento_CRA%20AJUSTES%20MADS_260420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crautonomagovco-my.sharepoint.com/archivos/Documentos/MADS/FORMATOS/INFORMES%20DE%20GESTI&#211;N%202021/Formatos%20SINA%20-%20PAI%202021%20(1).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C:\Users\rmoreno\Downloads\1.%20SINA-PAI%202023%20C.R.A%20FISICO%20Y%20FINANCIERO%20_dic%20(2).xlsx" TargetMode="External"/><Relationship Id="rId1" Type="http://schemas.openxmlformats.org/officeDocument/2006/relationships/externalLinkPath" Target="/Users/rmoreno/Downloads/1.%20SINA-PAI%202023%20C.R.A%20FISICO%20Y%20FINANCIERO%20_dic%20(2).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https://crautonomagovco-my.sharepoint.com/personal/rmoreno_crautonoma_gov_co/Documents/INFORMES%20DE%20GESTI&#211;N/INF.DE%20GESTI&#211;N%202023/4.SGMTO%20AVANC.METAS%20PAI%20A%20OCT.31%202023/Anexo%203_IMG-SUBD.GEST.AMBIENTAL%20Vig2023.xlsx" TargetMode="External"/><Relationship Id="rId1" Type="http://schemas.openxmlformats.org/officeDocument/2006/relationships/externalLinkPath" Target="https://crautonomagovco-my.sharepoint.com/personal/rmoreno_crautonoma_gov_co/Documents/INFORMES%20DE%20GESTI&#211;N/INF.DE%20GESTI&#211;N%202023/4.SGMTO%20AVANC.METAS%20PAI%20A%20OCT.31%202023/Anexo%203_IMG-SUBD.GEST.AMBIENTAL%20Vig202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crautonomagovco-my.sharepoint.com/personal/nbello_crautonoma_gov_co/Documents/Escritorio/SGTO%20PAI%20-%202022/INSUMOS/3.%20Anexo%203_IMG-CRA%20-%20Vigencia%202022_SDGA%2007%2002%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Generales"/>
      <sheetName val="Anexo 1 Matriz Inf Gestión"/>
      <sheetName val="Hoja1"/>
      <sheetName val="Anexo 2 Protocolo Inf Gestión"/>
      <sheetName val="PROTOCOLO INGRESOS"/>
      <sheetName val="Informe Ingresos"/>
      <sheetName val="PROTOCOLO GASTOS"/>
      <sheetName val="informe Gastos"/>
      <sheetName val="Anexo 3 Matriz IMG"/>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20Negoc"/>
      <sheetName val="21TiempoT"/>
      <sheetName val="22Autor"/>
      <sheetName val="23Sanc"/>
      <sheetName val="24POT"/>
      <sheetName val="25Redes"/>
      <sheetName val="26SIAC"/>
      <sheetName val="27Educa"/>
      <sheetName val="Observa"/>
      <sheetName val="Formulas"/>
    </sheetNames>
    <sheetDataSet>
      <sheetData sheetId="0">
        <row r="5">
          <cell r="H5" t="str">
            <v>Corporación Autónoma Regional del Alto Magdalena - CAM</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33">
          <cell r="D33" t="str">
            <v>SI APLICA</v>
          </cell>
        </row>
        <row r="34">
          <cell r="D34" t="str">
            <v>NO APLICA</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Generales"/>
      <sheetName val="Anexo 1 Matriz Inf Gestión-GD"/>
      <sheetName val="Hoja1"/>
      <sheetName val="Anexo2 Protocolo Inf Gestión GD"/>
      <sheetName val="Anexo 5.1 INGRESOS (2)"/>
      <sheetName val="PROTOCOLO INGRESOS (2)"/>
      <sheetName val="Anexo 5.2. informe Gastos"/>
      <sheetName val="Anexo 5.2-A. Gastos"/>
      <sheetName val="Protocolo Gastos"/>
      <sheetName val="Anexo 3 Matriz IMG"/>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20Negoc"/>
      <sheetName val="21TiempoT"/>
      <sheetName val="22Autor"/>
      <sheetName val="23Sanc"/>
      <sheetName val="24POT"/>
      <sheetName val="25Redes"/>
      <sheetName val="26SIAC"/>
      <sheetName val="27Educa"/>
      <sheetName val="Observa"/>
      <sheetName val="Formulas"/>
    </sheetNames>
    <sheetDataSet>
      <sheetData sheetId="0" refreshError="1">
        <row r="5">
          <cell r="C5" t="str">
            <v>Corporación Autónoma Regional del Atlántico – CRA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Generales"/>
      <sheetName val="Anexo 1 Matriz Inf Gestión-GD"/>
      <sheetName val="Hoja1"/>
      <sheetName val="Anexo2 Protocolo Inf Gestión GD"/>
      <sheetName val="Anexo 5.1 INGRESOS (2)"/>
      <sheetName val="PROTOCOLO INGRESOS (2)"/>
      <sheetName val="Anexo 5.2. informe Gastos"/>
      <sheetName val="Anexo 5.2-A. Gastos"/>
      <sheetName val="Protocolo Gastos"/>
      <sheetName val="Anexo 3 Matriz IMG"/>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20Negoc"/>
      <sheetName val="21TiempoT"/>
      <sheetName val="22Autor"/>
      <sheetName val="23Sanc"/>
      <sheetName val="24POT"/>
      <sheetName val="25Redes"/>
      <sheetName val="26SIAC"/>
      <sheetName val="27Educa"/>
      <sheetName val="Observa"/>
      <sheetName val="Formulas"/>
    </sheetNames>
    <sheetDataSet>
      <sheetData sheetId="0">
        <row r="5">
          <cell r="H5" t="str">
            <v>Corporación Autónoma Regional del Alto Magdalena - CAM</v>
          </cell>
        </row>
        <row r="6">
          <cell r="H6" t="str">
            <v>Corporación Autónoma Regional de Cundinamarca – CAR</v>
          </cell>
        </row>
        <row r="7">
          <cell r="H7" t="str">
            <v>Corporación Autónoma Regional del Canal del Dique – CARDIQUE</v>
          </cell>
        </row>
        <row r="8">
          <cell r="H8" t="str">
            <v>Corporación Autónoma Regional de Sucre – CARSUCRE</v>
          </cell>
        </row>
        <row r="9">
          <cell r="H9" t="str">
            <v>Corporación Autónoma Regional de Santander – CAS</v>
          </cell>
        </row>
        <row r="10">
          <cell r="H10" t="str">
            <v>Corporación para el Desarrollo Sostenible del Norte y el Oriente Amazónico – CDA</v>
          </cell>
        </row>
        <row r="11">
          <cell r="H11" t="str">
            <v>Corporación Autónoma Regional para la Defensa de la Meseta de Bucaramanga – CDMB</v>
          </cell>
        </row>
        <row r="12">
          <cell r="H12" t="str">
            <v>Corporación Autónoma Regional para el Desarrollo Sostenible del Chocó – CODECHOCÓ</v>
          </cell>
        </row>
        <row r="13">
          <cell r="H13" t="str">
            <v>Corporación para el Desarrollo Sostenible del Archipiélago de San Andrés, Providencia y Santa Catalina – CORALINA</v>
          </cell>
        </row>
        <row r="14">
          <cell r="H14" t="str">
            <v>Corporación Autónoma Regional del Centro de Antioquia – CORANTIOQUIA</v>
          </cell>
        </row>
        <row r="15">
          <cell r="H15" t="str">
            <v>Corporación para el Desarrollo Sostenible del Área de Manejo Especial de La Macarena – CORMACARENA</v>
          </cell>
        </row>
        <row r="16">
          <cell r="H16" t="str">
            <v>Corporación Autónoma Regional de las Cuencas de los Ríos Negro y Nare – CORNARE</v>
          </cell>
        </row>
        <row r="17">
          <cell r="H17" t="str">
            <v>Corporación Autónoma Regional del Magdalena – CORPAMAG</v>
          </cell>
        </row>
        <row r="18">
          <cell r="H18" t="str">
            <v>Corporación para el Desarrollo Sostenible del Sur de la Amazonia – CORPOAMAZONIA</v>
          </cell>
        </row>
        <row r="19">
          <cell r="H19" t="str">
            <v>Corporación Autónoma Regional de Boyacá – CORPOBOYACÁ</v>
          </cell>
        </row>
        <row r="20">
          <cell r="H20" t="str">
            <v>Corporación Autónoma Regional de Caldas – CORPOCALDAS</v>
          </cell>
        </row>
        <row r="21">
          <cell r="H21" t="str">
            <v>Corporación Autónoma Regional del Cesar – CORPOCESAR</v>
          </cell>
        </row>
        <row r="22">
          <cell r="H22" t="str">
            <v>Corporación Autónoma Regional de Chivor – CORPOCHIVOR</v>
          </cell>
        </row>
        <row r="23">
          <cell r="H23" t="str">
            <v>Corporación Autónoma Regional de La Guajira – CORPOGUAJIRA</v>
          </cell>
        </row>
        <row r="24">
          <cell r="H24" t="str">
            <v>Corporación Autónoma Regional del Guavio – CORPOGUAVIO</v>
          </cell>
        </row>
        <row r="25">
          <cell r="H25" t="str">
            <v>Corporación para el Desarrollo Sostenible de La Mojana y El San Jorge – CORPOMOJANA</v>
          </cell>
        </row>
        <row r="26">
          <cell r="H26" t="str">
            <v>Corporación Autónoma Regional de Nariño – CORPONARIÑO</v>
          </cell>
        </row>
        <row r="27">
          <cell r="H27" t="str">
            <v>Corporación Autónoma Regional de la Frontera Nororiental – CORPONOR</v>
          </cell>
        </row>
        <row r="28">
          <cell r="H28" t="str">
            <v>Corporación Autónoma Regional de Risaralda – CARDER</v>
          </cell>
        </row>
        <row r="29">
          <cell r="H29" t="str">
            <v>Corporación Autónoma Regional de la Orinoquia – CORPORINOQUIA</v>
          </cell>
        </row>
        <row r="30">
          <cell r="H30" t="str">
            <v>Corporación para el Desarrollo Sostenible del Urabá – CORPOURABA</v>
          </cell>
        </row>
        <row r="31">
          <cell r="H31" t="str">
            <v>Corporación Autónoma Regional del Tolima – CORTOLIMA</v>
          </cell>
        </row>
        <row r="32">
          <cell r="H32" t="str">
            <v>Corporación Autónoma Regional del Atlántico – CRA</v>
          </cell>
        </row>
        <row r="33">
          <cell r="H33" t="str">
            <v>Corporación Autónoma Regional del Cauca – CRC</v>
          </cell>
        </row>
        <row r="34">
          <cell r="H34" t="str">
            <v>Corporación Autónoma Regional del Quindío – CRQ</v>
          </cell>
        </row>
        <row r="35">
          <cell r="H35" t="str">
            <v>Corporación Autónoma Regional del Sur de Bolívar – CSB</v>
          </cell>
        </row>
        <row r="36">
          <cell r="H36" t="str">
            <v>Corporación Autónoma Regional del Valle del Cauca – CVC</v>
          </cell>
        </row>
        <row r="37">
          <cell r="H37" t="str">
            <v>Corporación Autónoma Regional de los Valles del Sinú y del San Jorge – CVS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33">
          <cell r="D33" t="str">
            <v>SI APLICA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Generales"/>
      <sheetName val="Anexo 1 - Inf Gest- Cons. Direc"/>
      <sheetName val="Anexo 1- Inf Gest- CARdinal"/>
      <sheetName val="Hoja1"/>
      <sheetName val="Anexo2 Protocolo Inf Gestión GD"/>
      <sheetName val="PROTOCOLO INGRESOS (2)"/>
      <sheetName val="Anexo 5.1 INGRESOS (2)"/>
      <sheetName val="Anexo 5.2. informe Gastos"/>
      <sheetName val="Anexo 5.2-A. Gastos (2)"/>
      <sheetName val="Protocolo Gastos"/>
    </sheetNames>
    <sheetDataSet>
      <sheetData sheetId="0">
        <row r="5">
          <cell r="C5" t="str">
            <v>Corporación Autónoma Regional del Atlántico – CRA</v>
          </cell>
          <cell r="H5" t="str">
            <v>Corporación Autónoma Regional del Alto Magdalena - CAM</v>
          </cell>
        </row>
        <row r="6">
          <cell r="H6" t="str">
            <v>Corporación Autónoma Regional de Cundinamarca – CAR</v>
          </cell>
        </row>
        <row r="7">
          <cell r="H7" t="str">
            <v>Corporación Autónoma Regional del Canal del Dique – CARDIQUE</v>
          </cell>
        </row>
        <row r="8">
          <cell r="H8" t="str">
            <v>Corporación Autónoma Regional de Sucre – CARSUCRE</v>
          </cell>
        </row>
        <row r="9">
          <cell r="H9" t="str">
            <v>Corporación Autónoma Regional de Santander – CAS</v>
          </cell>
        </row>
        <row r="10">
          <cell r="H10" t="str">
            <v>Corporación para el Desarrollo Sostenible del Norte y el Oriente Amazónico – CDA</v>
          </cell>
        </row>
        <row r="11">
          <cell r="H11" t="str">
            <v>Corporación Autónoma Regional para la Defensa de la Meseta de Bucaramanga – CDMB</v>
          </cell>
        </row>
        <row r="12">
          <cell r="H12" t="str">
            <v>Corporación Autónoma Regional para el Desarrollo Sostenible del Chocó – CODECHOCÓ</v>
          </cell>
        </row>
        <row r="13">
          <cell r="H13" t="str">
            <v>Corporación para el Desarrollo Sostenible del Archipiélago de San Andrés, Providencia y Santa Catalina – CORALINA</v>
          </cell>
        </row>
        <row r="14">
          <cell r="H14" t="str">
            <v>Corporación Autónoma Regional del Centro de Antioquia – CORANTIOQUIA</v>
          </cell>
        </row>
        <row r="15">
          <cell r="H15" t="str">
            <v>Corporación para el Desarrollo Sostenible del Área de Manejo Especial de La Macarena – CORMACARENA</v>
          </cell>
        </row>
        <row r="16">
          <cell r="H16" t="str">
            <v>Corporación Autónoma Regional de las Cuencas de los Ríos Negro y Nare – CORNARE</v>
          </cell>
        </row>
        <row r="17">
          <cell r="H17" t="str">
            <v>Corporación Autónoma Regional del Magdalena – CORPAMAG</v>
          </cell>
        </row>
        <row r="18">
          <cell r="H18" t="str">
            <v>Corporación para el Desarrollo Sostenible del Sur de la Amazonia – CORPOAMAZONIA</v>
          </cell>
        </row>
        <row r="19">
          <cell r="H19" t="str">
            <v>Corporación Autónoma Regional de Boyacá – CORPOBOYACÁ</v>
          </cell>
        </row>
        <row r="20">
          <cell r="H20" t="str">
            <v>Corporación Autónoma Regional de Caldas – CORPOCALDAS</v>
          </cell>
        </row>
        <row r="21">
          <cell r="H21" t="str">
            <v>Corporación Autónoma Regional del Cesar – CORPOCESAR</v>
          </cell>
        </row>
        <row r="22">
          <cell r="H22" t="str">
            <v>Corporación Autónoma Regional de Chivor – CORPOCHIVOR</v>
          </cell>
        </row>
        <row r="23">
          <cell r="H23" t="str">
            <v>Corporación Autónoma Regional de La Guajira – CORPOGUAJIRA</v>
          </cell>
        </row>
        <row r="24">
          <cell r="H24" t="str">
            <v>Corporación Autónoma Regional del Guavio – CORPOGUAVIO</v>
          </cell>
        </row>
        <row r="25">
          <cell r="H25" t="str">
            <v>Corporación para el Desarrollo Sostenible de La Mojana y El San Jorge – CORPOMOJANA</v>
          </cell>
        </row>
        <row r="26">
          <cell r="H26" t="str">
            <v>Corporación Autónoma Regional de Nariño – CORPONARIÑO</v>
          </cell>
        </row>
        <row r="27">
          <cell r="H27" t="str">
            <v>Corporación Autónoma Regional de la Frontera Nororiental – CORPONOR</v>
          </cell>
        </row>
        <row r="28">
          <cell r="H28" t="str">
            <v>Corporación Autónoma Regional de Risaralda – CARDER</v>
          </cell>
        </row>
        <row r="29">
          <cell r="H29" t="str">
            <v>Corporación Autónoma Regional de la Orinoquia – CORPORINOQUIA</v>
          </cell>
        </row>
        <row r="30">
          <cell r="H30" t="str">
            <v>Corporación para el Desarrollo Sostenible del Urabá – CORPOURABA</v>
          </cell>
        </row>
        <row r="31">
          <cell r="H31" t="str">
            <v>Corporación Autónoma Regional del Tolima – CORTOLIMA</v>
          </cell>
        </row>
        <row r="32">
          <cell r="H32" t="str">
            <v>Corporación Autónoma Regional del Atlántico – CRA</v>
          </cell>
        </row>
        <row r="33">
          <cell r="H33" t="str">
            <v>Corporación Autónoma Regional del Cauca – CRC</v>
          </cell>
        </row>
        <row r="34">
          <cell r="H34" t="str">
            <v>Corporación Autónoma Regional del Quindío – CRQ</v>
          </cell>
        </row>
        <row r="35">
          <cell r="H35" t="str">
            <v>Corporación Autónoma Regional del Sur de Bolívar – CSB</v>
          </cell>
        </row>
        <row r="36">
          <cell r="H36" t="str">
            <v>Corporación Autónoma Regional del Valle del Cauca – CVC</v>
          </cell>
        </row>
        <row r="37">
          <cell r="H37" t="str">
            <v>Corporación Autónoma Regional de los Valles del Sinú y del San Jorge – CVS</v>
          </cell>
        </row>
      </sheetData>
      <sheetData sheetId="1" refreshError="1"/>
      <sheetData sheetId="2">
        <row r="8">
          <cell r="A8" t="str">
            <v>LÍNEA ESTRATÉGICA No. 1. SOSTENIBILIDAD DEL RECURSO HÍDRICO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os Generales"/>
      <sheetName val="Anexo 1 Matriz Inf Gestión 2022"/>
      <sheetName val="Hoja1"/>
      <sheetName val="Anexo 2 Protocolo Inf Gestión"/>
      <sheetName val="PROTOCOLO INGRESOS"/>
      <sheetName val="PROTOCOLO GASTOS"/>
      <sheetName val="Anexo 5.1 Ingresos"/>
      <sheetName val="Anexo 5.2. Gastos"/>
      <sheetName val="Anexo 5.2-A. Gastos"/>
      <sheetName val="Datos Generales)"/>
      <sheetName val="Anexo 3 Matriz IMG"/>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20Negoc"/>
      <sheetName val="21TiempoT"/>
      <sheetName val="22Autor"/>
      <sheetName val="23Sanc"/>
      <sheetName val="24POT"/>
      <sheetName val="25Redes"/>
      <sheetName val="26SIAC"/>
      <sheetName val="27Educa"/>
      <sheetName val="Observa"/>
      <sheetName val="Formulas"/>
      <sheetName val="Hoja2"/>
    </sheetNames>
    <sheetDataSet>
      <sheetData sheetId="0">
        <row r="5">
          <cell r="H5" t="str">
            <v>Corporación Autónoma Regional del Alto Magdalena - CAM</v>
          </cell>
        </row>
        <row r="6">
          <cell r="H6" t="str">
            <v>Corporación Autónoma Regional de Cundinamarca – CAR</v>
          </cell>
        </row>
        <row r="7">
          <cell r="H7" t="str">
            <v>Corporación Autónoma Regional del Canal del Dique – CARDIQUE</v>
          </cell>
        </row>
        <row r="8">
          <cell r="H8" t="str">
            <v>Corporación Autónoma Regional de Sucre – CARSUCRE</v>
          </cell>
        </row>
        <row r="9">
          <cell r="H9" t="str">
            <v>Corporación Autónoma Regional de Santander – CAS</v>
          </cell>
        </row>
        <row r="10">
          <cell r="H10" t="str">
            <v>Corporación para el Desarrollo Sostenible del Norte y el Oriente Amazónico – CDA</v>
          </cell>
        </row>
        <row r="11">
          <cell r="H11" t="str">
            <v>Corporación Autónoma Regional para la Defensa de la Meseta de Bucaramanga – CDMB</v>
          </cell>
        </row>
        <row r="12">
          <cell r="H12" t="str">
            <v>Corporación Autónoma Regional para el Desarrollo Sostenible del Chocó – CODECHOCÓ</v>
          </cell>
        </row>
        <row r="13">
          <cell r="H13" t="str">
            <v>Corporación para el Desarrollo Sostenible del Archipiélago de San Andrés, Providencia y Santa Catalina – CORALINA</v>
          </cell>
        </row>
        <row r="14">
          <cell r="H14" t="str">
            <v>Corporación Autónoma Regional del Centro de Antioquia – CORANTIOQUIA</v>
          </cell>
        </row>
        <row r="15">
          <cell r="H15" t="str">
            <v>Corporación para el Desarrollo Sostenible del Área de Manejo Especial de La Macarena – CORMACARENA</v>
          </cell>
        </row>
        <row r="16">
          <cell r="H16" t="str">
            <v>Corporación Autónoma Regional de las Cuencas de los Ríos Negro y Nare – CORNARE</v>
          </cell>
        </row>
        <row r="17">
          <cell r="H17" t="str">
            <v>Corporación Autónoma Regional del Magdalena – CORPAMAG</v>
          </cell>
        </row>
        <row r="18">
          <cell r="H18" t="str">
            <v>Corporación para el Desarrollo Sostenible del Sur de la Amazonia – CORPOAMAZONIA</v>
          </cell>
        </row>
        <row r="19">
          <cell r="H19" t="str">
            <v>Corporación Autónoma Regional de Boyacá – CORPOBOYACÁ</v>
          </cell>
        </row>
        <row r="20">
          <cell r="H20" t="str">
            <v>Corporación Autónoma Regional de Caldas – CORPOCALDAS</v>
          </cell>
        </row>
        <row r="21">
          <cell r="H21" t="str">
            <v>Corporación Autónoma Regional del Cesar – CORPOCESAR</v>
          </cell>
        </row>
        <row r="22">
          <cell r="H22" t="str">
            <v>Corporación Autónoma Regional de Chivor – CORPOCHIVOR</v>
          </cell>
        </row>
        <row r="23">
          <cell r="H23" t="str">
            <v>Corporación Autónoma Regional de La Guajira – CORPOGUAJIRA</v>
          </cell>
        </row>
        <row r="24">
          <cell r="H24" t="str">
            <v>Corporación Autónoma Regional del Guavio – CORPOGUAVIO</v>
          </cell>
        </row>
        <row r="25">
          <cell r="H25" t="str">
            <v>Corporación para el Desarrollo Sostenible de La Mojana y El San Jorge – CORPOMOJANA</v>
          </cell>
        </row>
        <row r="26">
          <cell r="H26" t="str">
            <v>Corporación Autónoma Regional de Nariño – CORPONARIÑO</v>
          </cell>
        </row>
        <row r="27">
          <cell r="H27" t="str">
            <v>Corporación Autónoma Regional de la Frontera Nororiental – CORPONOR</v>
          </cell>
        </row>
        <row r="28">
          <cell r="H28" t="str">
            <v>Corporación Autónoma Regional de la Orinoquia – CORPORINOQUIA</v>
          </cell>
        </row>
        <row r="29">
          <cell r="H29" t="str">
            <v>Corporación para el Desarrollo Sostenible del Urabá – CORPOURABA</v>
          </cell>
        </row>
        <row r="30">
          <cell r="H30" t="str">
            <v>Corporación Autónoma Regional del Tolima – CORTOLIMA</v>
          </cell>
        </row>
        <row r="31">
          <cell r="H31" t="str">
            <v>Corporación Autónoma Regional del Atlántico – CRA</v>
          </cell>
        </row>
        <row r="32">
          <cell r="H32" t="str">
            <v>Corporación Autónoma Regional del Cauca – CRC</v>
          </cell>
        </row>
        <row r="33">
          <cell r="H33" t="str">
            <v>Corporación Autónoma Regional del Quindío – CRQ</v>
          </cell>
        </row>
        <row r="34">
          <cell r="H34" t="str">
            <v>Corporación Autónoma Regional del Sur de Bolívar – CSB</v>
          </cell>
        </row>
        <row r="35">
          <cell r="H35" t="str">
            <v>Corporación Autónoma Regional del Valle del Cauca – CVC</v>
          </cell>
        </row>
        <row r="36">
          <cell r="H36" t="str">
            <v>Corporación Autónoma Regional de los Valles del Sinú y del San Jorge – CVS</v>
          </cell>
        </row>
        <row r="38">
          <cell r="H38" t="str">
            <v>2020-I</v>
          </cell>
        </row>
        <row r="39">
          <cell r="H39" t="str">
            <v>2020-II</v>
          </cell>
        </row>
        <row r="40">
          <cell r="H40" t="str">
            <v>2021-I</v>
          </cell>
        </row>
        <row r="41">
          <cell r="H41" t="str">
            <v>2021-II</v>
          </cell>
        </row>
        <row r="42">
          <cell r="H42" t="str">
            <v>2022-I</v>
          </cell>
        </row>
        <row r="43">
          <cell r="H43" t="str">
            <v>2022-II</v>
          </cell>
        </row>
        <row r="44">
          <cell r="H44" t="str">
            <v>2023-I</v>
          </cell>
        </row>
        <row r="45">
          <cell r="H45" t="str">
            <v>2023-II</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33">
          <cell r="D33" t="str">
            <v>SI APLICA</v>
          </cell>
          <cell r="F33" t="str">
            <v>SI SE REPORTA</v>
          </cell>
        </row>
        <row r="34">
          <cell r="D34" t="str">
            <v>NO APLICA</v>
          </cell>
          <cell r="F34" t="str">
            <v>NO SE REPORTA</v>
          </cell>
        </row>
      </sheetData>
      <sheetData sheetId="4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Generales"/>
      <sheetName val="Anexo 1 Matriz Inf Gestión"/>
      <sheetName val="Hoja1"/>
      <sheetName val="Anexo 2 Protocolo Inf Gestión"/>
      <sheetName val="Informe Ingresos"/>
      <sheetName val="PROTOCOLO INGRESOS"/>
      <sheetName val="informe Gastos"/>
      <sheetName val="PROTOCOLO GASTOS"/>
      <sheetName val="Anexo 3 Matriz IMG"/>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20Negoc"/>
      <sheetName val="21TiempoT"/>
      <sheetName val="22Autor"/>
      <sheetName val="23Sanc"/>
      <sheetName val="24POT"/>
      <sheetName val="25Redes"/>
      <sheetName val="26SIAC"/>
      <sheetName val="27Educa"/>
      <sheetName val="Observa"/>
      <sheetName val="Formulas"/>
    </sheetNames>
    <sheetDataSet>
      <sheetData sheetId="0">
        <row r="5">
          <cell r="H5" t="str">
            <v>Corporación Autónoma Regional del Alto Magdalena - CAM</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33">
          <cell r="D33" t="str">
            <v>SI APLICA</v>
          </cell>
          <cell r="F33" t="str">
            <v>SI SE REPORTA</v>
          </cell>
        </row>
        <row r="34">
          <cell r="D34" t="str">
            <v>NO APLICA</v>
          </cell>
          <cell r="F34" t="str">
            <v>NO SE REPORTA</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Generales"/>
      <sheetName val="Anexo 1 Matriz Inf Gestión"/>
      <sheetName val="Hoja1"/>
      <sheetName val="Anexo 2 Protocolo Inf Gestión"/>
      <sheetName val="Informe Ingresos"/>
      <sheetName val="PROTOCOLO INGRESOS"/>
      <sheetName val="INGRESOS"/>
      <sheetName val="Hoja3"/>
      <sheetName val="informe Gastos"/>
      <sheetName val="Hoja2"/>
      <sheetName val="Anexo 3 Matriz IMG"/>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20Negoc"/>
      <sheetName val="21TiempoT"/>
      <sheetName val="22Autor"/>
      <sheetName val="23Sanc"/>
      <sheetName val="24POT"/>
      <sheetName val="25Redes"/>
      <sheetName val="26SIAC"/>
      <sheetName val="27Educa"/>
      <sheetName val="Observa"/>
      <sheetName val="Formul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33">
          <cell r="D33" t="str">
            <v>SI APLICA</v>
          </cell>
          <cell r="F33" t="str">
            <v>SI SE REPORTA</v>
          </cell>
        </row>
        <row r="34">
          <cell r="D34" t="str">
            <v>NO APLICA</v>
          </cell>
          <cell r="F34" t="str">
            <v>NO SE REPORTA</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os Generales"/>
      <sheetName val="Hoja1"/>
      <sheetName val="Anexo2 Protocolo Inf Gestión GD"/>
      <sheetName val="Anexo 5.1 INGRESOS (2)"/>
      <sheetName val="Anexo 1 Matriz Inf Gestión-Rev"/>
      <sheetName val="Anexo 5.1 INGRESOS VF"/>
      <sheetName val="PROTOCOLO INGRESOS (2)"/>
      <sheetName val="Anexo 5.2. informe Gastos"/>
      <sheetName val="Anexo 5.2.A"/>
      <sheetName val="rezagos 2020 - amarillo"/>
      <sheetName val="Anexo 5.2-A.Gastos"/>
      <sheetName val="Anexo 5.2.A_REV"/>
      <sheetName val="Protocolo Gastos"/>
      <sheetName val="Hoja3"/>
    </sheetNames>
    <sheetDataSet>
      <sheetData sheetId="0"/>
      <sheetData sheetId="1"/>
      <sheetData sheetId="2"/>
      <sheetData sheetId="3"/>
      <sheetData sheetId="4"/>
      <sheetData sheetId="5">
        <row r="7">
          <cell r="R7">
            <v>115766313295.99652</v>
          </cell>
        </row>
      </sheetData>
      <sheetData sheetId="6"/>
      <sheetData sheetId="7">
        <row r="47">
          <cell r="Z47">
            <v>115162713829.69</v>
          </cell>
          <cell r="AA47">
            <v>83064830971.980011</v>
          </cell>
        </row>
      </sheetData>
      <sheetData sheetId="8"/>
      <sheetData sheetId="9"/>
      <sheetData sheetId="10"/>
      <sheetData sheetId="11"/>
      <sheetData sheetId="12"/>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oja1"/>
      <sheetName val="Informe Ingresos"/>
      <sheetName val="PROTOCOLO INGRESOS"/>
      <sheetName val="Datos Generales"/>
      <sheetName val="Anexo 3 Matriz IMG"/>
      <sheetName val="1POMCAS"/>
      <sheetName val="2PORH"/>
      <sheetName val="3PSMV"/>
      <sheetName val="4UsoAguas"/>
      <sheetName val="5PUEAA"/>
      <sheetName val="6POMCASejec"/>
      <sheetName val="7Clima"/>
      <sheetName val="8Suelo"/>
      <sheetName val="9RUNAP A"/>
      <sheetName val="10Paramos"/>
      <sheetName val="11Forest"/>
      <sheetName val="12PlanesAP"/>
      <sheetName val="13Amenaz"/>
      <sheetName val="14Invasor"/>
      <sheetName val="15Restaura"/>
      <sheetName val="16MIZC"/>
      <sheetName val="17PGIRS"/>
      <sheetName val="18Sector"/>
      <sheetName val="19GAU"/>
      <sheetName val="20Negoc"/>
      <sheetName val="21TiempoT"/>
      <sheetName val="22Autor"/>
      <sheetName val="23Sanc"/>
      <sheetName val="24POT"/>
      <sheetName val="25Redes"/>
      <sheetName val="26SIAC"/>
      <sheetName val="27Educa"/>
      <sheetName val="Observa"/>
      <sheetName val="Formulas"/>
      <sheetName val="Cruces IEDI"/>
    </sheetNames>
    <sheetDataSet>
      <sheetData sheetId="0" refreshError="1"/>
      <sheetData sheetId="1" refreshError="1"/>
      <sheetData sheetId="2" refreshError="1"/>
      <sheetData sheetId="3" refreshError="1">
        <row r="5">
          <cell r="C5" t="str">
            <v>Corporación Autónoma Regional del Atlántico – CRA</v>
          </cell>
        </row>
        <row r="6">
          <cell r="C6" t="str">
            <v>2023-II</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29">
          <cell r="D29" t="str">
            <v/>
          </cell>
        </row>
      </sheetData>
      <sheetData sheetId="3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Informe Ingresos"/>
      <sheetName val="PROTOCOLO INGRESOS"/>
      <sheetName val="Datos Generales"/>
      <sheetName val="Anexo 3 Matriz IMG"/>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20Negoc"/>
      <sheetName val="21TiempoT"/>
      <sheetName val="22Autor"/>
      <sheetName val="23Sanc"/>
      <sheetName val="24POT"/>
      <sheetName val="25Redes"/>
      <sheetName val="26SIAC"/>
      <sheetName val="27Educa"/>
      <sheetName val="Observa"/>
      <sheetName val="Formulas"/>
      <sheetName val="Cruces IEDI"/>
    </sheetNames>
    <sheetDataSet>
      <sheetData sheetId="0" refreshError="1"/>
      <sheetData sheetId="1" refreshError="1"/>
      <sheetData sheetId="2" refreshError="1"/>
      <sheetData sheetId="3">
        <row r="5">
          <cell r="C5" t="str">
            <v>Corporación Autónoma Regional del Atlántico – CRA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26">
          <cell r="D26">
            <v>1</v>
          </cell>
        </row>
      </sheetData>
      <sheetData sheetId="34" refreshError="1"/>
    </sheetDataSet>
  </externalBook>
</externalLink>
</file>

<file path=xl/persons/person.xml><?xml version="1.0" encoding="utf-8"?>
<personList xmlns="http://schemas.microsoft.com/office/spreadsheetml/2018/threadedcomments" xmlns:x="http://schemas.openxmlformats.org/spreadsheetml/2006/main"/>
</file>

<file path=xl/persons/person0.xml><?xml version="1.0" encoding="utf-8"?>
<personList xmlns="http://schemas.microsoft.com/office/spreadsheetml/2018/threadedcomments" xmlns:x="http://schemas.openxmlformats.org/spreadsheetml/2006/main"/>
</file>

<file path=xl/persons/person1.xml><?xml version="1.0" encoding="utf-8"?>
<personList xmlns="http://schemas.microsoft.com/office/spreadsheetml/2018/threadedcomments" xmlns:x="http://schemas.openxmlformats.org/spreadsheetml/2006/main"/>
</file>

<file path=xl/persons/person2.xml><?xml version="1.0" encoding="utf-8"?>
<personList xmlns="http://schemas.microsoft.com/office/spreadsheetml/2018/threadedcomments" xmlns:x="http://schemas.openxmlformats.org/spreadsheetml/2006/main"/>
</file>

<file path=xl/persons/person3.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8.bin"/><Relationship Id="rId1" Type="http://schemas.openxmlformats.org/officeDocument/2006/relationships/hyperlink" Target="mailto:jrestrepo@crautonoma.gov.co"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9.bin"/><Relationship Id="rId1" Type="http://schemas.openxmlformats.org/officeDocument/2006/relationships/hyperlink" Target="mailto:gescaf@crautonoma.gov.co"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0.bin"/><Relationship Id="rId1" Type="http://schemas.openxmlformats.org/officeDocument/2006/relationships/hyperlink" Target="mailto:jrestrepo@crautonoma.gov.co"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1.bin"/><Relationship Id="rId1" Type="http://schemas.openxmlformats.org/officeDocument/2006/relationships/hyperlink" Target="mailto:gescaf@crautonoma.gov.co"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gescaf@crautonoma.gov.co" TargetMode="External"/><Relationship Id="rId1" Type="http://schemas.openxmlformats.org/officeDocument/2006/relationships/hyperlink" Target="http://cambioclimatico.minambiente.gov.co/" TargetMode="External"/><Relationship Id="rId4"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3.bin"/><Relationship Id="rId1" Type="http://schemas.openxmlformats.org/officeDocument/2006/relationships/hyperlink" Target="mailto:gescaf@crautonoma.gov.co"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4.bin"/><Relationship Id="rId1" Type="http://schemas.openxmlformats.org/officeDocument/2006/relationships/hyperlink" Target="mailto:jrestrepo@crautonoma.gov.co"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6.bin"/><Relationship Id="rId1" Type="http://schemas.openxmlformats.org/officeDocument/2006/relationships/hyperlink" Target="mailto:gescaf@crautonoma.gov.co"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7.bin"/><Relationship Id="rId1" Type="http://schemas.openxmlformats.org/officeDocument/2006/relationships/hyperlink" Target="mailto:jrestrepo@crautonoma.gov.co"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8.bin"/><Relationship Id="rId1" Type="http://schemas.openxmlformats.org/officeDocument/2006/relationships/hyperlink" Target="mailto:jrestrepo@crautonoma.gov.co"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19.bin"/><Relationship Id="rId1" Type="http://schemas.openxmlformats.org/officeDocument/2006/relationships/hyperlink" Target="mailto:jrestrepo@crautonoma.gov.co"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0.bin"/><Relationship Id="rId1" Type="http://schemas.openxmlformats.org/officeDocument/2006/relationships/hyperlink" Target="mailto:gescaf@crautonoma.gov.co"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1.bin"/><Relationship Id="rId1" Type="http://schemas.openxmlformats.org/officeDocument/2006/relationships/hyperlink" Target="mailto:gescaf@crautonoma.gov.co"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2.bin"/><Relationship Id="rId1" Type="http://schemas.openxmlformats.org/officeDocument/2006/relationships/hyperlink" Target="mailto:jrestrepo@crautonoma.gov.co"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3.bin"/><Relationship Id="rId1" Type="http://schemas.openxmlformats.org/officeDocument/2006/relationships/hyperlink" Target="mailto:jrestrepo@crautonoma.gov.co"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4.bin"/><Relationship Id="rId1" Type="http://schemas.openxmlformats.org/officeDocument/2006/relationships/hyperlink" Target="mailto:jrestrepo@crautonoma.gov.co" TargetMode="External"/><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mailto:jrestrepo@crautonoma.gov.co" TargetMode="External"/><Relationship Id="rId1" Type="http://schemas.openxmlformats.org/officeDocument/2006/relationships/hyperlink" Target="https://www.minambiente.gov.co/index.php/ambientes-y-desarrollos-sostenibles/negocios-verdes-y-sostenibles" TargetMode="External"/><Relationship Id="rId4"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6.bin"/><Relationship Id="rId1" Type="http://schemas.openxmlformats.org/officeDocument/2006/relationships/hyperlink" Target="mailto:jrestrepo@crautonoma.gov.co"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7.bin"/><Relationship Id="rId1" Type="http://schemas.openxmlformats.org/officeDocument/2006/relationships/hyperlink" Target="mailto:bcoll@crautonoma.gov.co"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8.bin"/><Relationship Id="rId1" Type="http://schemas.openxmlformats.org/officeDocument/2006/relationships/hyperlink" Target="mailto:jrestrepo@crautonoma.gov.co"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29.bin"/><Relationship Id="rId1" Type="http://schemas.openxmlformats.org/officeDocument/2006/relationships/hyperlink" Target="mailto:gescaf@crautonoma.gov.co"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mailto:jrestrepo@crautonoma.gov.co" TargetMode="External"/><Relationship Id="rId2" Type="http://schemas.openxmlformats.org/officeDocument/2006/relationships/hyperlink" Target="http://www.sirh.ideam.gov.co/" TargetMode="External"/><Relationship Id="rId1" Type="http://schemas.openxmlformats.org/officeDocument/2006/relationships/hyperlink" Target="http://www.sisaire.gov.co/" TargetMode="External"/><Relationship Id="rId5" Type="http://schemas.openxmlformats.org/officeDocument/2006/relationships/drawing" Target="../drawings/drawing31.xml"/><Relationship Id="rId4"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hyperlink" Target="mailto:jrestrepo@crautonoma.gov.co" TargetMode="External"/><Relationship Id="rId2" Type="http://schemas.openxmlformats.org/officeDocument/2006/relationships/hyperlink" Target="http://www.sirh.ideam.gov.co/" TargetMode="External"/><Relationship Id="rId1" Type="http://schemas.openxmlformats.org/officeDocument/2006/relationships/hyperlink" Target="http://www.sisaire.gov.co/" TargetMode="External"/><Relationship Id="rId5" Type="http://schemas.openxmlformats.org/officeDocument/2006/relationships/drawing" Target="../drawings/drawing32.xml"/><Relationship Id="rId4"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2.bin"/><Relationship Id="rId1" Type="http://schemas.openxmlformats.org/officeDocument/2006/relationships/hyperlink" Target="mailto:gescaf@crautonoma.gov.co" TargetMode="Externa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mailto:gescaf@crautonoma.gov.co"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6.bin"/><Relationship Id="rId1" Type="http://schemas.openxmlformats.org/officeDocument/2006/relationships/hyperlink" Target="mailto:gescaf@crautonoma.gov.co"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7.bin"/><Relationship Id="rId1" Type="http://schemas.openxmlformats.org/officeDocument/2006/relationships/hyperlink" Target="mailto:gescaf@crautonoma.gov.co"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B28"/>
  <sheetViews>
    <sheetView topLeftCell="A3" workbookViewId="0">
      <selection sqref="A1:XFD1048576"/>
    </sheetView>
  </sheetViews>
  <sheetFormatPr baseColWidth="10" defaultColWidth="11.44140625" defaultRowHeight="13.8"/>
  <cols>
    <col min="1" max="16384" width="11.44140625" style="408"/>
  </cols>
  <sheetData>
    <row r="1" spans="1:2">
      <c r="A1" s="408" t="s">
        <v>1694</v>
      </c>
      <c r="B1" s="409" t="s">
        <v>1144</v>
      </c>
    </row>
    <row r="2" spans="1:2">
      <c r="A2" s="408" t="s">
        <v>1695</v>
      </c>
      <c r="B2" s="409" t="s">
        <v>130</v>
      </c>
    </row>
    <row r="3" spans="1:2">
      <c r="A3" s="408" t="s">
        <v>1696</v>
      </c>
      <c r="B3" s="409" t="s">
        <v>161</v>
      </c>
    </row>
    <row r="4" spans="1:2">
      <c r="A4" s="408" t="s">
        <v>1697</v>
      </c>
      <c r="B4" s="409" t="s">
        <v>182</v>
      </c>
    </row>
    <row r="5" spans="1:2">
      <c r="A5" s="408" t="s">
        <v>1698</v>
      </c>
      <c r="B5" s="409" t="s">
        <v>199</v>
      </c>
    </row>
    <row r="6" spans="1:2">
      <c r="A6" s="408" t="s">
        <v>1699</v>
      </c>
      <c r="B6" s="409" t="s">
        <v>219</v>
      </c>
    </row>
    <row r="7" spans="1:2">
      <c r="A7" s="408" t="s">
        <v>1700</v>
      </c>
      <c r="B7" s="409" t="s">
        <v>279</v>
      </c>
    </row>
    <row r="8" spans="1:2">
      <c r="A8" s="408" t="s">
        <v>1701</v>
      </c>
      <c r="B8" s="409" t="s">
        <v>313</v>
      </c>
    </row>
    <row r="9" spans="1:2">
      <c r="A9" s="408" t="s">
        <v>1702</v>
      </c>
      <c r="B9" s="409" t="s">
        <v>347</v>
      </c>
    </row>
    <row r="10" spans="1:2">
      <c r="A10" s="408" t="s">
        <v>1703</v>
      </c>
      <c r="B10" s="409" t="s">
        <v>395</v>
      </c>
    </row>
    <row r="11" spans="1:2">
      <c r="B11" s="409" t="s">
        <v>417</v>
      </c>
    </row>
    <row r="12" spans="1:2">
      <c r="B12" s="409" t="s">
        <v>448</v>
      </c>
    </row>
    <row r="13" spans="1:2">
      <c r="B13" s="409" t="s">
        <v>479</v>
      </c>
    </row>
    <row r="14" spans="1:2">
      <c r="B14" s="409" t="s">
        <v>525</v>
      </c>
    </row>
    <row r="15" spans="1:2">
      <c r="B15" s="409" t="s">
        <v>556</v>
      </c>
    </row>
    <row r="16" spans="1:2">
      <c r="B16" s="409" t="s">
        <v>584</v>
      </c>
    </row>
    <row r="17" spans="2:2">
      <c r="B17" s="409" t="s">
        <v>629</v>
      </c>
    </row>
    <row r="18" spans="2:2">
      <c r="B18" s="409" t="s">
        <v>649</v>
      </c>
    </row>
    <row r="19" spans="2:2">
      <c r="B19" s="409" t="s">
        <v>697</v>
      </c>
    </row>
    <row r="20" spans="2:2">
      <c r="B20" s="409" t="s">
        <v>767</v>
      </c>
    </row>
    <row r="21" spans="2:2">
      <c r="B21" s="409" t="s">
        <v>828</v>
      </c>
    </row>
    <row r="22" spans="2:2">
      <c r="B22" s="409" t="s">
        <v>875</v>
      </c>
    </row>
    <row r="23" spans="2:2">
      <c r="B23" s="409" t="s">
        <v>939</v>
      </c>
    </row>
    <row r="24" spans="2:2">
      <c r="B24" s="409" t="s">
        <v>960</v>
      </c>
    </row>
    <row r="25" spans="2:2">
      <c r="B25" s="409" t="s">
        <v>989</v>
      </c>
    </row>
    <row r="26" spans="2:2">
      <c r="B26" s="409" t="s">
        <v>1062</v>
      </c>
    </row>
    <row r="27" spans="2:2">
      <c r="B27" s="409" t="s">
        <v>1109</v>
      </c>
    </row>
    <row r="28" spans="2:2">
      <c r="B28" s="408" t="s">
        <v>1703</v>
      </c>
    </row>
  </sheetData>
  <hyperlinks>
    <hyperlink ref="B1" location="'1POMCAS'!A1" display="Porcentaje de avance en la formulación y/o ajuste de los Planes de Ordenación y Manejo de Cuencas (POMCAS), Planes de Manejo de Acuíferos (PMA) y Planes de Manejo de Microcuencas (PMM)" xr:uid="{00000000-0004-0000-0000-000000000000}"/>
    <hyperlink ref="B2" location="'2PORH'!A1" display="Porcentaje de cuerpos de agua con planes de ordenamiento del recurso hídrico (PORH) adoptados" xr:uid="{00000000-0004-0000-0000-000001000000}"/>
    <hyperlink ref="B3" location="'3PSMV'!_Toc467769470" display="Porcentaje de Planes de Saneamiento y Manejo de Vertimientos (PSMV) con seguimiento" xr:uid="{00000000-0004-0000-0000-000002000000}"/>
    <hyperlink ref="B4" location="'4UsoAguas'!_Toc467769471" display="Porcentaje de cuerpos de agua con reglamentación del uso de las aguas" xr:uid="{00000000-0004-0000-0000-000003000000}"/>
    <hyperlink ref="B5" location="'5PUEAA'!_Toc467769472" display="Porcentaje de Programas de Uso Eficiente y Ahorro del Agua (PUEAA) con seguimiento" xr:uid="{00000000-0004-0000-0000-000004000000}"/>
    <hyperlink ref="B6" location="'6POMCASejec'!_Toc467769473" display="Porcentaje de Planes de Ordenación y Manejo de Cuencas (POMCAS), Planes de Manejo de Acuíferos (PMA) y Planes de Manejo de Microcuencas (PMM) en ejecución" xr:uid="{00000000-0004-0000-0000-000005000000}"/>
    <hyperlink ref="B7" location="'7Clima'!_Toc467769474" display="Porcentaje de entes territoriales asesorados en la incorporación, planificación y ejecución de acciones relacionadas con cambio climático en el marco de los instrumentos de planificación territorial" xr:uid="{00000000-0004-0000-0000-000006000000}"/>
    <hyperlink ref="B8" location="'8Suelo'!_Toc467769475" display="Porcentaje de suelos degradados en recuperación o rehabilitación" xr:uid="{00000000-0004-0000-0000-000007000000}"/>
    <hyperlink ref="B9" location="'9RUNAP'!_Toc467769476" display="Porcentaje de la superficie de áreas protegidas regionales declaradas, homologadas o recategorizadas, inscritas en el RUNAP" xr:uid="{00000000-0004-0000-0000-000008000000}"/>
    <hyperlink ref="B10" location="'10Paramos'!_Toc467769477" display="Porcentaje de páramos delimitados por el MADS, con zonificación y régimen de usos adoptados por la CAR" xr:uid="{00000000-0004-0000-0000-000009000000}"/>
    <hyperlink ref="B11" location="'11Forest'!_Toc467769478" display="Porcentaje de avance en la formulación del Plan de Ordenación Forestal" xr:uid="{00000000-0004-0000-0000-00000A000000}"/>
    <hyperlink ref="B12" location="'12PlanesAP'!_Toc467769479" display="Porcentaje de áreas protegidas con planes de manejo en ejecución" xr:uid="{00000000-0004-0000-0000-00000B000000}"/>
    <hyperlink ref="B13" location="'13Amenaz'!_Toc467769480" display="Porcentaje de especies amenazadas con medidas de conservación y manejo en ejecución" xr:uid="{00000000-0004-0000-0000-00000C000000}"/>
    <hyperlink ref="B14" location="'14Invasor'!_Toc467769481" display="Porcentaje de especies invasoras con medidas de prevención, control y manejo en ejecución" xr:uid="{00000000-0004-0000-0000-00000D000000}"/>
    <hyperlink ref="B15" location="'15Restaura'!_Toc467769482" display="Porcentaje de áreas de ecosistemas en restauración, rehabilitación y reforestación" xr:uid="{00000000-0004-0000-0000-00000E000000}"/>
    <hyperlink ref="B16" location="'16MIZC'!_Toc467769483" display="Implementación de acciones en manejo integrado de zonas costeras" xr:uid="{00000000-0004-0000-0000-00000F000000}"/>
    <hyperlink ref="B17" location="'17PGIRS'!_Toc467769484" display="Porcentaje de Planes de Gestión Integral de Residuos Sólidos (PGIRS) con seguimiento a metas de aprovechamiento" xr:uid="{00000000-0004-0000-0000-000010000000}"/>
    <hyperlink ref="B18" location="'18Sector'!_Toc467769485" display="Porcentaje de sectores con acompañamiento para la reconversión hacia sistemas sostenibles de producción" xr:uid="{00000000-0004-0000-0000-000011000000}"/>
    <hyperlink ref="B19" location="'19GAU'!_Toc467769486" display="Porcentaje de ejecución de acciones en Gestión Ambiental Urbana" xr:uid="{00000000-0004-0000-0000-000012000000}"/>
    <hyperlink ref="B20" location="'20Negoc'!_Toc467769487" display="Implementación del Programa Regional de Negocios Verdes por la autoridad ambiental" xr:uid="{00000000-0004-0000-0000-000013000000}"/>
    <hyperlink ref="B22" location="'22Autor'!_Toc467769489" display="Porcentaje de autorizaciones ambientales con seguimiento" xr:uid="{00000000-0004-0000-0000-000014000000}"/>
    <hyperlink ref="B23" location="'23Sanc'!_Toc467769490" display="Porcentaje de Procesos Sancionatorios Resueltos" xr:uid="{00000000-0004-0000-0000-000015000000}"/>
    <hyperlink ref="B24" location="'24POT'!_Toc467769491" display="Porcentaje de municipios asesorados o asistidos en la inclusión del componente ambiental en los procesos de planificación y ordenamiento territorial, con énfasis en la incorporación de las determinantes ambientales para la revisión y ajuste de los POT" xr:uid="{00000000-0004-0000-0000-000016000000}"/>
    <hyperlink ref="B25" location="'25Redes'!_Toc467769492" display="Porcentaje de redes y estaciones de monitoreo en operación" xr:uid="{00000000-0004-0000-0000-000017000000}"/>
    <hyperlink ref="B26" location="'26SIAC'!_Toc467769493" display="Porcentaje de actualización y reporte de la información en el SIAC" xr:uid="{00000000-0004-0000-0000-000018000000}"/>
    <hyperlink ref="B27" location="'27Educa'!_Toc467769494" display="Ejecución de Acciones en Educación Ambiental" xr:uid="{00000000-0004-0000-0000-000019000000}"/>
    <hyperlink ref="B21" location="'21TiempoT'!_Toc467769488" display="Tiempo promedio de trámite para la resolución de autorizaciones ambientales otorgadas por la corporación" xr:uid="{00000000-0004-0000-0000-00001A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3">
    <tabColor theme="0"/>
  </sheetPr>
  <dimension ref="A1:U75"/>
  <sheetViews>
    <sheetView showGridLines="0" topLeftCell="A13" zoomScale="98" zoomScaleNormal="98" workbookViewId="0">
      <selection activeCell="E13" sqref="E13:R13"/>
    </sheetView>
  </sheetViews>
  <sheetFormatPr baseColWidth="10" defaultRowHeight="14.4"/>
  <cols>
    <col min="1" max="1" width="1.88671875" customWidth="1"/>
    <col min="2" max="2" width="12.88671875" customWidth="1"/>
    <col min="3" max="3" width="6.109375" style="66" customWidth="1"/>
    <col min="4" max="4" width="34.88671875" customWidth="1"/>
    <col min="5" max="5" width="17.88671875" customWidth="1"/>
    <col min="9" max="9" width="54.5546875" customWidth="1"/>
  </cols>
  <sheetData>
    <row r="1" spans="1:21" s="314" customFormat="1" ht="100.5" customHeight="1" thickBot="1">
      <c r="A1" s="1421"/>
      <c r="B1" s="1422"/>
      <c r="C1" s="1422"/>
      <c r="D1" s="1422"/>
      <c r="E1" s="1422"/>
      <c r="F1" s="1422"/>
      <c r="G1" s="1422"/>
      <c r="H1" s="1422"/>
      <c r="I1" s="1422"/>
      <c r="J1" s="1422"/>
      <c r="K1" s="1422"/>
      <c r="L1" s="1422"/>
      <c r="M1" s="1422"/>
      <c r="N1" s="1422"/>
      <c r="O1" s="1422"/>
      <c r="P1" s="1423"/>
      <c r="Q1"/>
      <c r="R1"/>
    </row>
    <row r="2" spans="1:21" s="315" customFormat="1" ht="16.2" thickBot="1">
      <c r="A2" s="1418" t="str">
        <f>+'Datos Generales'!C5</f>
        <v>Corporación Autónoma Regional del Atlántico – CRA</v>
      </c>
      <c r="B2" s="1419"/>
      <c r="C2" s="1419"/>
      <c r="D2" s="1419"/>
      <c r="E2" s="1419"/>
      <c r="F2" s="1419"/>
      <c r="G2" s="1419"/>
      <c r="H2" s="1419"/>
      <c r="I2" s="1419"/>
      <c r="J2" s="1419"/>
      <c r="K2" s="1419"/>
      <c r="L2" s="1419"/>
      <c r="M2" s="1419"/>
      <c r="N2" s="1419"/>
      <c r="O2" s="1419"/>
      <c r="P2" s="1420"/>
      <c r="Q2"/>
      <c r="R2"/>
    </row>
    <row r="3" spans="1:21" s="315" customFormat="1" ht="16.2" thickBot="1">
      <c r="A3" s="1426" t="s">
        <v>1295</v>
      </c>
      <c r="B3" s="1427"/>
      <c r="C3" s="1427"/>
      <c r="D3" s="1427"/>
      <c r="E3" s="1427"/>
      <c r="F3" s="1427"/>
      <c r="G3" s="1427"/>
      <c r="H3" s="1427"/>
      <c r="I3" s="1427"/>
      <c r="J3" s="1427"/>
      <c r="K3" s="1427"/>
      <c r="L3" s="1427"/>
      <c r="M3" s="1427"/>
      <c r="N3" s="1427"/>
      <c r="O3" s="1427"/>
      <c r="P3" s="1428"/>
      <c r="Q3"/>
      <c r="R3"/>
    </row>
    <row r="4" spans="1:21" s="315" customFormat="1" ht="16.2" thickBot="1">
      <c r="A4" s="1424" t="s">
        <v>1294</v>
      </c>
      <c r="B4" s="1425"/>
      <c r="C4" s="1425"/>
      <c r="D4" s="1425"/>
      <c r="E4" s="322" t="str">
        <f>+'Datos Generales'!C6</f>
        <v>2023-II</v>
      </c>
      <c r="F4" s="322"/>
      <c r="G4" s="322"/>
      <c r="H4" s="322"/>
      <c r="I4" s="322"/>
      <c r="J4" s="322"/>
      <c r="K4" s="322"/>
      <c r="L4" s="323"/>
      <c r="M4" s="323"/>
      <c r="N4" s="323"/>
      <c r="O4" s="323"/>
      <c r="P4" s="324"/>
      <c r="Q4"/>
      <c r="R4"/>
    </row>
    <row r="5" spans="1:21" ht="16.5" customHeight="1" thickBot="1">
      <c r="A5" s="1426" t="s">
        <v>161</v>
      </c>
      <c r="B5" s="1427"/>
      <c r="C5" s="1427"/>
      <c r="D5" s="1427"/>
      <c r="E5" s="1427"/>
      <c r="F5" s="1427"/>
      <c r="G5" s="1427"/>
      <c r="H5" s="1427"/>
      <c r="I5" s="1427"/>
      <c r="J5" s="1427"/>
      <c r="K5" s="1427"/>
      <c r="L5" s="1427"/>
      <c r="M5" s="1427"/>
      <c r="N5" s="1427"/>
      <c r="O5" s="1427"/>
      <c r="P5" s="1428"/>
    </row>
    <row r="6" spans="1:21">
      <c r="B6" s="1" t="s">
        <v>1</v>
      </c>
      <c r="C6" s="64"/>
      <c r="D6" s="5"/>
      <c r="E6" s="62"/>
      <c r="F6" s="5" t="s">
        <v>127</v>
      </c>
      <c r="G6" s="5"/>
      <c r="H6" s="5"/>
      <c r="I6" s="5"/>
      <c r="J6" s="5"/>
      <c r="K6" s="5"/>
    </row>
    <row r="7" spans="1:21" ht="15" thickBot="1">
      <c r="B7" s="63"/>
      <c r="C7" s="65"/>
      <c r="D7" s="5"/>
      <c r="E7" s="14"/>
      <c r="F7" s="5" t="s">
        <v>128</v>
      </c>
      <c r="G7" s="5"/>
      <c r="H7" s="5"/>
      <c r="I7" s="5"/>
      <c r="J7" s="5"/>
      <c r="K7" s="5"/>
    </row>
    <row r="8" spans="1:21" ht="15" thickBot="1">
      <c r="B8" s="144" t="s">
        <v>1180</v>
      </c>
      <c r="C8" s="571">
        <v>2023</v>
      </c>
      <c r="D8" s="171">
        <f>IF(E10="NO APLICA","NO APLICA",IF(E11="NO SE REPORTA","SIN INFORMACION",+H22))</f>
        <v>1</v>
      </c>
      <c r="E8" s="168"/>
      <c r="F8" s="5" t="s">
        <v>129</v>
      </c>
      <c r="G8" s="5"/>
      <c r="H8" s="5"/>
      <c r="I8" s="5"/>
      <c r="J8" s="5"/>
      <c r="K8" s="5"/>
    </row>
    <row r="9" spans="1:21">
      <c r="B9" s="300" t="s">
        <v>1181</v>
      </c>
      <c r="C9" s="67"/>
      <c r="D9" s="5"/>
      <c r="E9" s="5"/>
      <c r="F9" s="5"/>
      <c r="G9" s="5"/>
      <c r="H9" s="5"/>
      <c r="I9" s="5"/>
      <c r="J9" s="5"/>
      <c r="K9" s="5"/>
    </row>
    <row r="10" spans="1:21">
      <c r="B10" s="1429" t="s">
        <v>1236</v>
      </c>
      <c r="C10" s="1429"/>
      <c r="D10" s="1429"/>
      <c r="E10" s="303" t="s">
        <v>1233</v>
      </c>
      <c r="F10" s="1436"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437"/>
      <c r="H10" s="1437"/>
      <c r="I10" s="1437"/>
      <c r="J10" s="1437"/>
      <c r="K10" s="1437"/>
      <c r="L10" s="1437"/>
      <c r="M10" s="1437"/>
      <c r="N10" s="1437"/>
      <c r="O10" s="1437"/>
      <c r="P10" s="1437"/>
      <c r="Q10" s="1437"/>
      <c r="R10" s="1437"/>
      <c r="S10" s="1437"/>
      <c r="T10" s="5"/>
      <c r="U10" s="5"/>
    </row>
    <row r="11" spans="1:21" ht="14.4" customHeight="1">
      <c r="B11" s="302"/>
      <c r="C11" s="67"/>
      <c r="D11" s="144" t="str">
        <f>IF(E10="SI APLICA","¿El indicador no se reporta por limitaciones de información disponible? ","")</f>
        <v xml:space="preserve">¿El indicador no se reporta por limitaciones de información disponible? </v>
      </c>
      <c r="E11" s="304" t="s">
        <v>1235</v>
      </c>
      <c r="F11" s="1430"/>
      <c r="G11" s="1431"/>
      <c r="H11" s="1431"/>
      <c r="I11" s="1431"/>
      <c r="J11" s="1431"/>
      <c r="K11" s="1431"/>
      <c r="L11" s="1431"/>
      <c r="M11" s="1431"/>
      <c r="N11" s="1431"/>
      <c r="O11" s="1431"/>
      <c r="P11" s="1431"/>
      <c r="Q11" s="1431"/>
      <c r="R11" s="1431"/>
      <c r="S11" s="1431"/>
    </row>
    <row r="12" spans="1:21" ht="30.75" customHeight="1">
      <c r="B12" s="300"/>
      <c r="C12" s="67"/>
      <c r="D12" s="144" t="str">
        <f>IF(E11="SI SE REPORTA","¿Qué programas o proyectos del Plan de Acción están asociados al indicador? ","")</f>
        <v xml:space="preserve">¿Qué programas o proyectos del Plan de Acción están asociados al indicador? </v>
      </c>
      <c r="E12" s="1432" t="s">
        <v>1822</v>
      </c>
      <c r="F12" s="1432"/>
      <c r="G12" s="1432"/>
      <c r="H12" s="1432"/>
      <c r="I12" s="1432"/>
      <c r="J12" s="1432"/>
      <c r="K12" s="1432"/>
      <c r="L12" s="1432"/>
      <c r="M12" s="1432"/>
      <c r="N12" s="1432"/>
      <c r="O12" s="1432"/>
      <c r="P12" s="1432"/>
      <c r="Q12" s="1432"/>
      <c r="R12" s="1432"/>
    </row>
    <row r="13" spans="1:21" ht="48.75" customHeight="1">
      <c r="B13" s="300"/>
      <c r="C13" s="67"/>
      <c r="D13" s="144" t="s">
        <v>1238</v>
      </c>
      <c r="E13" s="1433" t="s">
        <v>1987</v>
      </c>
      <c r="F13" s="1434"/>
      <c r="G13" s="1434"/>
      <c r="H13" s="1434"/>
      <c r="I13" s="1434"/>
      <c r="J13" s="1434"/>
      <c r="K13" s="1434"/>
      <c r="L13" s="1434"/>
      <c r="M13" s="1434"/>
      <c r="N13" s="1434"/>
      <c r="O13" s="1434"/>
      <c r="P13" s="1434"/>
      <c r="Q13" s="1434"/>
      <c r="R13" s="1435"/>
    </row>
    <row r="14" spans="1:21" ht="6.9" customHeight="1" thickBot="1">
      <c r="B14" s="300"/>
      <c r="C14" s="67"/>
      <c r="D14" s="5"/>
      <c r="E14" s="5"/>
      <c r="F14" s="5"/>
      <c r="G14" s="5"/>
      <c r="H14" s="5"/>
      <c r="I14" s="5"/>
      <c r="J14" s="5"/>
      <c r="K14" s="5"/>
    </row>
    <row r="15" spans="1:21" ht="15" thickBot="1">
      <c r="B15" s="1459" t="s">
        <v>2</v>
      </c>
      <c r="C15" s="68"/>
      <c r="D15" s="1450" t="s">
        <v>3</v>
      </c>
      <c r="E15" s="1451"/>
      <c r="F15" s="1451"/>
      <c r="G15" s="1451"/>
      <c r="H15" s="1451"/>
      <c r="I15" s="1451"/>
      <c r="J15" s="1452"/>
      <c r="K15" s="5"/>
    </row>
    <row r="16" spans="1:21" ht="44.25" customHeight="1" thickBot="1">
      <c r="B16" s="1460"/>
      <c r="C16" s="73"/>
      <c r="D16" s="34" t="s">
        <v>175</v>
      </c>
      <c r="E16" s="441">
        <v>22</v>
      </c>
      <c r="F16" s="5"/>
      <c r="G16" s="5"/>
      <c r="H16" s="5"/>
      <c r="I16" s="5"/>
      <c r="J16" s="17"/>
      <c r="K16" s="5"/>
    </row>
    <row r="17" spans="2:11" ht="57.75" customHeight="1" thickBot="1">
      <c r="B17" s="1460"/>
      <c r="C17" s="73"/>
      <c r="D17" s="32" t="s">
        <v>176</v>
      </c>
      <c r="E17" s="441">
        <v>22</v>
      </c>
      <c r="F17" s="316"/>
      <c r="G17" s="5"/>
      <c r="H17" s="5"/>
      <c r="I17" s="5"/>
      <c r="J17" s="17"/>
      <c r="K17" s="5"/>
    </row>
    <row r="18" spans="2:11" ht="15" thickBot="1">
      <c r="B18" s="1460"/>
      <c r="C18" s="71"/>
      <c r="D18" s="1472"/>
      <c r="E18" s="1473"/>
      <c r="F18" s="1473"/>
      <c r="G18" s="1473"/>
      <c r="H18" s="1473"/>
      <c r="I18" s="1473"/>
      <c r="J18" s="1474"/>
      <c r="K18" s="5"/>
    </row>
    <row r="19" spans="2:11" ht="15" thickBot="1">
      <c r="B19" s="1460"/>
      <c r="C19" s="77" t="s">
        <v>18</v>
      </c>
      <c r="D19" s="34" t="s">
        <v>149</v>
      </c>
      <c r="E19" s="69" t="s">
        <v>19</v>
      </c>
      <c r="F19" s="69" t="s">
        <v>20</v>
      </c>
      <c r="G19" s="69" t="s">
        <v>21</v>
      </c>
      <c r="H19" s="69" t="s">
        <v>22</v>
      </c>
      <c r="I19" s="178" t="s">
        <v>54</v>
      </c>
      <c r="J19" s="89"/>
      <c r="K19" s="5"/>
    </row>
    <row r="20" spans="2:11" ht="65.25" customHeight="1" thickBot="1">
      <c r="B20" s="1460"/>
      <c r="C20" s="2" t="s">
        <v>151</v>
      </c>
      <c r="D20" s="32" t="s">
        <v>177</v>
      </c>
      <c r="E20" s="441">
        <v>12</v>
      </c>
      <c r="F20" s="441">
        <v>15</v>
      </c>
      <c r="G20" s="441">
        <v>16</v>
      </c>
      <c r="H20" s="441">
        <v>22</v>
      </c>
      <c r="I20" s="508" t="s">
        <v>1823</v>
      </c>
      <c r="J20" s="562"/>
      <c r="K20" s="5"/>
    </row>
    <row r="21" spans="2:11" ht="103.5" customHeight="1" thickBot="1">
      <c r="B21" s="1460"/>
      <c r="C21" s="2" t="s">
        <v>153</v>
      </c>
      <c r="D21" s="2" t="s">
        <v>178</v>
      </c>
      <c r="E21" s="441">
        <v>12</v>
      </c>
      <c r="F21" s="441">
        <v>15</v>
      </c>
      <c r="G21" s="441">
        <v>16</v>
      </c>
      <c r="H21" s="441">
        <v>22</v>
      </c>
      <c r="I21" s="508" t="s">
        <v>2031</v>
      </c>
      <c r="J21" s="90"/>
      <c r="K21" s="5"/>
    </row>
    <row r="22" spans="2:11" ht="43.5" customHeight="1" thickBot="1">
      <c r="B22" s="1461"/>
      <c r="C22" s="2" t="s">
        <v>155</v>
      </c>
      <c r="D22" s="32" t="s">
        <v>179</v>
      </c>
      <c r="E22" s="148">
        <f>IFERROR(E21/E20,"N.A.")</f>
        <v>1</v>
      </c>
      <c r="F22" s="148">
        <f>IFERROR(F21/F20,"N.A.")</f>
        <v>1</v>
      </c>
      <c r="G22" s="148">
        <f>IFERROR(G21/G20,"N.A.")</f>
        <v>1</v>
      </c>
      <c r="H22" s="148">
        <f>IFERROR(H21/H20,"N.A.")</f>
        <v>1</v>
      </c>
      <c r="I22" s="299"/>
      <c r="J22" s="91"/>
      <c r="K22" s="5"/>
    </row>
    <row r="23" spans="2:11" ht="24" customHeight="1" thickBot="1">
      <c r="B23" s="37" t="s">
        <v>33</v>
      </c>
      <c r="C23" s="72"/>
      <c r="D23" s="1462" t="s">
        <v>180</v>
      </c>
      <c r="E23" s="1463"/>
      <c r="F23" s="1463"/>
      <c r="G23" s="1463"/>
      <c r="H23" s="1463"/>
      <c r="I23" s="1463"/>
      <c r="J23" s="1464"/>
      <c r="K23" s="5"/>
    </row>
    <row r="24" spans="2:11" ht="24.6" thickBot="1">
      <c r="B24" s="37" t="s">
        <v>35</v>
      </c>
      <c r="C24" s="72"/>
      <c r="D24" s="1462" t="s">
        <v>158</v>
      </c>
      <c r="E24" s="1463"/>
      <c r="F24" s="1463"/>
      <c r="G24" s="1463"/>
      <c r="H24" s="1463"/>
      <c r="I24" s="1463"/>
      <c r="J24" s="1464"/>
      <c r="K24" s="5"/>
    </row>
    <row r="25" spans="2:11" ht="15" thickBot="1">
      <c r="B25" s="1"/>
      <c r="C25" s="64"/>
      <c r="D25" s="5"/>
      <c r="E25" s="5"/>
      <c r="F25" s="5"/>
      <c r="G25" s="5"/>
      <c r="H25" s="5"/>
      <c r="I25" s="5"/>
      <c r="J25" s="5"/>
      <c r="K25" s="5"/>
    </row>
    <row r="26" spans="2:11" ht="24" customHeight="1" thickBot="1">
      <c r="B26" s="1469" t="s">
        <v>37</v>
      </c>
      <c r="C26" s="1470"/>
      <c r="D26" s="1470"/>
      <c r="E26" s="1471"/>
      <c r="F26" s="5"/>
      <c r="G26" s="5"/>
      <c r="H26" s="5"/>
      <c r="I26" s="5"/>
      <c r="J26" s="5"/>
      <c r="K26" s="5"/>
    </row>
    <row r="27" spans="2:11" ht="15" thickBot="1">
      <c r="B27" s="1459">
        <v>1</v>
      </c>
      <c r="C27" s="73"/>
      <c r="D27" s="38" t="s">
        <v>38</v>
      </c>
      <c r="E27" s="25" t="s">
        <v>1814</v>
      </c>
      <c r="F27" s="5"/>
      <c r="G27" s="5"/>
      <c r="H27" s="5"/>
      <c r="I27" s="5"/>
      <c r="J27" s="5"/>
      <c r="K27" s="5"/>
    </row>
    <row r="28" spans="2:11" ht="24.6" thickBot="1">
      <c r="B28" s="1460"/>
      <c r="C28" s="73"/>
      <c r="D28" s="32" t="s">
        <v>39</v>
      </c>
      <c r="E28" s="24" t="s">
        <v>1824</v>
      </c>
      <c r="F28" s="5"/>
      <c r="G28" s="5"/>
      <c r="H28" s="5"/>
      <c r="I28" s="5"/>
      <c r="J28" s="5"/>
      <c r="K28" s="5"/>
    </row>
    <row r="29" spans="2:11" ht="15" thickBot="1">
      <c r="B29" s="1460"/>
      <c r="C29" s="73"/>
      <c r="D29" s="32" t="s">
        <v>40</v>
      </c>
      <c r="E29" s="24" t="s">
        <v>2049</v>
      </c>
      <c r="F29" s="5"/>
      <c r="G29" s="5"/>
      <c r="H29" s="5"/>
      <c r="I29" s="5"/>
      <c r="J29" s="5"/>
      <c r="K29" s="5"/>
    </row>
    <row r="30" spans="2:11" ht="17.25" customHeight="1" thickBot="1">
      <c r="B30" s="1460"/>
      <c r="C30" s="73"/>
      <c r="D30" s="32" t="s">
        <v>41</v>
      </c>
      <c r="E30" s="25" t="s">
        <v>2051</v>
      </c>
      <c r="F30" s="5"/>
      <c r="G30" s="5"/>
      <c r="H30" s="5"/>
      <c r="I30" s="5"/>
      <c r="J30" s="5"/>
      <c r="K30" s="5"/>
    </row>
    <row r="31" spans="2:11" ht="29.4" thickBot="1">
      <c r="B31" s="1460"/>
      <c r="C31" s="73"/>
      <c r="D31" s="32" t="s">
        <v>42</v>
      </c>
      <c r="E31" s="507" t="s">
        <v>1825</v>
      </c>
      <c r="F31" s="5"/>
      <c r="G31" s="5"/>
      <c r="H31" s="5"/>
      <c r="I31" s="5"/>
      <c r="J31" s="5"/>
      <c r="K31" s="5"/>
    </row>
    <row r="32" spans="2:11" ht="15" thickBot="1">
      <c r="B32" s="1460"/>
      <c r="C32" s="73"/>
      <c r="D32" s="32" t="s">
        <v>43</v>
      </c>
      <c r="E32" s="24" t="s">
        <v>1826</v>
      </c>
      <c r="F32" s="5"/>
      <c r="G32" s="5"/>
      <c r="H32" s="5"/>
      <c r="I32" s="5"/>
      <c r="J32" s="5"/>
      <c r="K32" s="5"/>
    </row>
    <row r="33" spans="2:11" ht="15" thickBot="1">
      <c r="B33" s="1461"/>
      <c r="C33" s="2"/>
      <c r="D33" s="32" t="s">
        <v>44</v>
      </c>
      <c r="E33" s="24" t="s">
        <v>1817</v>
      </c>
      <c r="F33" s="5"/>
      <c r="G33" s="5"/>
      <c r="H33" s="5"/>
      <c r="I33" s="5"/>
      <c r="J33" s="5"/>
      <c r="K33" s="5"/>
    </row>
    <row r="34" spans="2:11" ht="15" thickBot="1">
      <c r="B34" s="1"/>
      <c r="C34" s="64"/>
      <c r="D34" s="5"/>
      <c r="E34" s="5"/>
      <c r="F34" s="5"/>
      <c r="G34" s="5"/>
      <c r="H34" s="5"/>
      <c r="I34" s="5"/>
      <c r="J34" s="5"/>
      <c r="K34" s="5"/>
    </row>
    <row r="35" spans="2:11" ht="15" thickBot="1">
      <c r="B35" s="1469" t="s">
        <v>45</v>
      </c>
      <c r="C35" s="1470"/>
      <c r="D35" s="1470"/>
      <c r="E35" s="1471"/>
      <c r="F35" s="5"/>
      <c r="G35" s="5"/>
      <c r="H35" s="5"/>
      <c r="I35" s="5"/>
      <c r="J35" s="5"/>
      <c r="K35" s="5"/>
    </row>
    <row r="36" spans="2:11" ht="15" thickBot="1">
      <c r="B36" s="1459">
        <v>1</v>
      </c>
      <c r="C36" s="73"/>
      <c r="D36" s="38" t="s">
        <v>38</v>
      </c>
      <c r="E36" s="190" t="s">
        <v>46</v>
      </c>
      <c r="F36" s="5"/>
      <c r="G36" s="5"/>
      <c r="H36" s="5"/>
      <c r="I36" s="5"/>
      <c r="J36" s="5"/>
      <c r="K36" s="5"/>
    </row>
    <row r="37" spans="2:11" ht="15" thickBot="1">
      <c r="B37" s="1460"/>
      <c r="C37" s="73"/>
      <c r="D37" s="32" t="s">
        <v>39</v>
      </c>
      <c r="E37" s="190" t="s">
        <v>159</v>
      </c>
      <c r="F37" s="5"/>
      <c r="G37" s="5"/>
      <c r="H37" s="5"/>
      <c r="I37" s="5"/>
      <c r="J37" s="5"/>
      <c r="K37" s="5"/>
    </row>
    <row r="38" spans="2:11" ht="15" thickBot="1">
      <c r="B38" s="1460"/>
      <c r="C38" s="73"/>
      <c r="D38" s="32" t="s">
        <v>40</v>
      </c>
      <c r="E38" s="194"/>
      <c r="F38" s="5"/>
      <c r="G38" s="5"/>
      <c r="H38" s="5"/>
      <c r="I38" s="5"/>
      <c r="J38" s="5"/>
      <c r="K38" s="5"/>
    </row>
    <row r="39" spans="2:11" ht="15" thickBot="1">
      <c r="B39" s="1460"/>
      <c r="C39" s="73"/>
      <c r="D39" s="32" t="s">
        <v>41</v>
      </c>
      <c r="E39" s="194"/>
      <c r="F39" s="5"/>
      <c r="G39" s="5"/>
      <c r="H39" s="5"/>
      <c r="I39" s="5"/>
      <c r="J39" s="5"/>
      <c r="K39" s="5"/>
    </row>
    <row r="40" spans="2:11" ht="15" thickBot="1">
      <c r="B40" s="1460"/>
      <c r="C40" s="73"/>
      <c r="D40" s="32" t="s">
        <v>42</v>
      </c>
      <c r="E40" s="194"/>
      <c r="F40" s="5"/>
      <c r="G40" s="5"/>
      <c r="H40" s="5"/>
      <c r="I40" s="5"/>
      <c r="J40" s="5"/>
      <c r="K40" s="5"/>
    </row>
    <row r="41" spans="2:11" ht="15" thickBot="1">
      <c r="B41" s="1460"/>
      <c r="C41" s="73"/>
      <c r="D41" s="32" t="s">
        <v>43</v>
      </c>
      <c r="E41" s="194"/>
      <c r="F41" s="5"/>
      <c r="G41" s="5"/>
      <c r="H41" s="5"/>
      <c r="I41" s="5"/>
      <c r="J41" s="5"/>
      <c r="K41" s="5"/>
    </row>
    <row r="42" spans="2:11" ht="15" thickBot="1">
      <c r="B42" s="1461"/>
      <c r="C42" s="2"/>
      <c r="D42" s="32" t="s">
        <v>44</v>
      </c>
      <c r="E42" s="194"/>
      <c r="F42" s="5"/>
      <c r="G42" s="5"/>
      <c r="H42" s="5"/>
      <c r="I42" s="5"/>
      <c r="J42" s="5"/>
      <c r="K42" s="5"/>
    </row>
    <row r="43" spans="2:11" ht="15" thickBot="1">
      <c r="B43" s="1"/>
      <c r="C43" s="64"/>
      <c r="D43" s="5"/>
      <c r="E43" s="5"/>
      <c r="F43" s="5"/>
      <c r="G43" s="5"/>
      <c r="H43" s="5"/>
      <c r="I43" s="5"/>
      <c r="J43" s="5"/>
      <c r="K43" s="5"/>
    </row>
    <row r="44" spans="2:11" ht="15" customHeight="1" thickBot="1">
      <c r="B44" s="193" t="s">
        <v>48</v>
      </c>
      <c r="C44" s="98"/>
      <c r="D44" s="98"/>
      <c r="E44" s="99"/>
      <c r="G44" s="5"/>
      <c r="H44" s="5"/>
      <c r="I44" s="5"/>
      <c r="J44" s="5"/>
      <c r="K44" s="5"/>
    </row>
    <row r="45" spans="2:11" ht="24.6" thickBot="1">
      <c r="B45" s="37" t="s">
        <v>49</v>
      </c>
      <c r="C45" s="32" t="s">
        <v>50</v>
      </c>
      <c r="D45" s="32" t="s">
        <v>51</v>
      </c>
      <c r="E45" s="32" t="s">
        <v>52</v>
      </c>
      <c r="F45" s="5"/>
      <c r="G45" s="5"/>
      <c r="H45" s="5"/>
      <c r="I45" s="5"/>
      <c r="J45" s="5"/>
    </row>
    <row r="46" spans="2:11" ht="72.599999999999994" thickBot="1">
      <c r="B46" s="39">
        <v>42401</v>
      </c>
      <c r="C46" s="32">
        <v>0.01</v>
      </c>
      <c r="D46" s="58" t="s">
        <v>181</v>
      </c>
      <c r="E46" s="32"/>
      <c r="F46" s="5"/>
      <c r="G46" s="5"/>
      <c r="H46" s="5"/>
      <c r="I46" s="5"/>
      <c r="J46" s="5"/>
    </row>
    <row r="47" spans="2:11" ht="15" thickBot="1">
      <c r="B47" s="3"/>
      <c r="C47" s="74"/>
      <c r="D47" s="5"/>
      <c r="E47" s="5"/>
      <c r="F47" s="5"/>
      <c r="G47" s="5"/>
      <c r="H47" s="5"/>
      <c r="I47" s="5"/>
      <c r="J47" s="5"/>
      <c r="K47" s="5"/>
    </row>
    <row r="48" spans="2:11">
      <c r="B48" s="106" t="s">
        <v>54</v>
      </c>
      <c r="C48" s="75"/>
      <c r="D48" s="5"/>
      <c r="E48" s="5"/>
      <c r="F48" s="5"/>
      <c r="G48" s="5"/>
      <c r="H48" s="5"/>
      <c r="I48" s="5"/>
      <c r="J48" s="5"/>
      <c r="K48" s="5"/>
    </row>
    <row r="49" spans="2:11">
      <c r="B49" s="1529"/>
      <c r="C49" s="1530"/>
      <c r="D49" s="1530"/>
      <c r="E49" s="1531"/>
      <c r="F49" s="5"/>
      <c r="G49" s="5"/>
      <c r="H49" s="5"/>
      <c r="I49" s="5"/>
      <c r="J49" s="5"/>
      <c r="K49" s="5"/>
    </row>
    <row r="50" spans="2:11" ht="15" thickBot="1">
      <c r="B50" s="5"/>
      <c r="D50" s="5"/>
      <c r="E50" s="5"/>
      <c r="F50" s="5"/>
      <c r="G50" s="5"/>
      <c r="H50" s="5"/>
      <c r="I50" s="5"/>
      <c r="J50" s="5"/>
      <c r="K50" s="5"/>
    </row>
    <row r="51" spans="2:11" ht="24.6" thickBot="1">
      <c r="B51" s="41" t="s">
        <v>55</v>
      </c>
      <c r="C51" s="76"/>
      <c r="D51" s="5"/>
      <c r="E51" s="5"/>
      <c r="F51" s="5"/>
      <c r="G51" s="5"/>
      <c r="H51" s="5"/>
      <c r="I51" s="5"/>
      <c r="J51" s="5"/>
      <c r="K51" s="5"/>
    </row>
    <row r="52" spans="2:11" ht="15" thickBot="1">
      <c r="B52" s="1"/>
      <c r="C52" s="64"/>
      <c r="D52" s="5"/>
      <c r="E52" s="5"/>
      <c r="F52" s="5"/>
      <c r="G52" s="5"/>
      <c r="H52" s="5"/>
      <c r="I52" s="5"/>
      <c r="J52" s="5"/>
      <c r="K52" s="5"/>
    </row>
    <row r="53" spans="2:11" ht="60.6" thickBot="1">
      <c r="B53" s="42" t="s">
        <v>56</v>
      </c>
      <c r="C53" s="77"/>
      <c r="D53" s="34" t="s">
        <v>162</v>
      </c>
      <c r="E53" s="5"/>
      <c r="F53" s="5"/>
      <c r="G53" s="5"/>
      <c r="H53" s="5"/>
      <c r="I53" s="5"/>
      <c r="J53" s="5"/>
      <c r="K53" s="5"/>
    </row>
    <row r="54" spans="2:11">
      <c r="B54" s="1459" t="s">
        <v>58</v>
      </c>
      <c r="C54" s="73"/>
      <c r="D54" s="43" t="s">
        <v>59</v>
      </c>
      <c r="E54" s="5"/>
      <c r="F54" s="5"/>
      <c r="G54" s="5"/>
      <c r="H54" s="5"/>
      <c r="I54" s="5"/>
      <c r="J54" s="5"/>
      <c r="K54" s="5"/>
    </row>
    <row r="55" spans="2:11" ht="60">
      <c r="B55" s="1460"/>
      <c r="C55" s="73"/>
      <c r="D55" s="36" t="s">
        <v>163</v>
      </c>
      <c r="E55" s="5"/>
      <c r="F55" s="5"/>
      <c r="G55" s="5"/>
      <c r="H55" s="5"/>
      <c r="I55" s="5"/>
      <c r="J55" s="5"/>
      <c r="K55" s="5"/>
    </row>
    <row r="56" spans="2:11">
      <c r="B56" s="1460"/>
      <c r="C56" s="73"/>
      <c r="D56" s="43" t="s">
        <v>133</v>
      </c>
      <c r="E56" s="5"/>
      <c r="F56" s="5"/>
      <c r="G56" s="5"/>
      <c r="H56" s="5"/>
      <c r="I56" s="5"/>
      <c r="J56" s="5"/>
      <c r="K56" s="5"/>
    </row>
    <row r="57" spans="2:11">
      <c r="B57" s="1460"/>
      <c r="C57" s="73"/>
      <c r="D57" s="36" t="s">
        <v>63</v>
      </c>
      <c r="E57" s="5"/>
      <c r="F57" s="5"/>
      <c r="G57" s="5"/>
      <c r="H57" s="5"/>
      <c r="I57" s="5"/>
      <c r="J57" s="5"/>
      <c r="K57" s="5"/>
    </row>
    <row r="58" spans="2:11">
      <c r="B58" s="1460"/>
      <c r="C58" s="73"/>
      <c r="D58" s="36" t="s">
        <v>164</v>
      </c>
      <c r="E58" s="5"/>
      <c r="F58" s="5"/>
      <c r="G58" s="5"/>
      <c r="H58" s="5"/>
      <c r="I58" s="5"/>
      <c r="J58" s="5"/>
      <c r="K58" s="5"/>
    </row>
    <row r="59" spans="2:11">
      <c r="B59" s="1460"/>
      <c r="C59" s="73"/>
      <c r="D59" s="36" t="s">
        <v>165</v>
      </c>
      <c r="E59" s="5"/>
      <c r="F59" s="5"/>
      <c r="G59" s="5"/>
      <c r="H59" s="5"/>
      <c r="I59" s="5"/>
      <c r="J59" s="5"/>
      <c r="K59" s="5"/>
    </row>
    <row r="60" spans="2:11">
      <c r="B60" s="1460"/>
      <c r="C60" s="73"/>
      <c r="D60" s="36" t="s">
        <v>166</v>
      </c>
      <c r="E60" s="5"/>
      <c r="F60" s="5"/>
      <c r="G60" s="5"/>
      <c r="H60" s="5"/>
      <c r="I60" s="5"/>
      <c r="J60" s="5"/>
      <c r="K60" s="5"/>
    </row>
    <row r="61" spans="2:11">
      <c r="B61" s="1460"/>
      <c r="C61" s="73"/>
      <c r="D61" s="36" t="s">
        <v>167</v>
      </c>
      <c r="E61" s="5"/>
      <c r="F61" s="5"/>
      <c r="G61" s="5"/>
      <c r="H61" s="5"/>
      <c r="I61" s="5"/>
      <c r="J61" s="5"/>
      <c r="K61" s="5"/>
    </row>
    <row r="62" spans="2:11" ht="15" thickBot="1">
      <c r="B62" s="1461"/>
      <c r="C62" s="2"/>
      <c r="D62" s="58"/>
      <c r="E62" s="5"/>
      <c r="F62" s="5"/>
      <c r="G62" s="5"/>
      <c r="H62" s="5"/>
      <c r="I62" s="5"/>
      <c r="J62" s="5"/>
      <c r="K62" s="5"/>
    </row>
    <row r="63" spans="2:11" ht="24.6" thickBot="1">
      <c r="B63" s="37" t="s">
        <v>71</v>
      </c>
      <c r="C63" s="2"/>
      <c r="D63" s="32"/>
      <c r="E63" s="5"/>
      <c r="F63" s="5"/>
      <c r="G63" s="5"/>
      <c r="H63" s="5"/>
      <c r="I63" s="5"/>
      <c r="J63" s="5"/>
      <c r="K63" s="5"/>
    </row>
    <row r="64" spans="2:11" ht="96">
      <c r="B64" s="1459" t="s">
        <v>72</v>
      </c>
      <c r="C64" s="73"/>
      <c r="D64" s="36" t="s">
        <v>168</v>
      </c>
      <c r="E64" s="5"/>
      <c r="F64" s="5"/>
      <c r="G64" s="5"/>
      <c r="H64" s="5"/>
      <c r="I64" s="5"/>
      <c r="J64" s="5"/>
      <c r="K64" s="5"/>
    </row>
    <row r="65" spans="2:11" ht="84">
      <c r="B65" s="1460"/>
      <c r="C65" s="73"/>
      <c r="D65" s="36" t="s">
        <v>169</v>
      </c>
      <c r="E65" s="5"/>
      <c r="F65" s="5"/>
      <c r="G65" s="5"/>
      <c r="H65" s="5"/>
      <c r="I65" s="5"/>
      <c r="J65" s="5"/>
      <c r="K65" s="5"/>
    </row>
    <row r="66" spans="2:11" ht="96.6" thickBot="1">
      <c r="B66" s="1461"/>
      <c r="C66" s="2"/>
      <c r="D66" s="32" t="s">
        <v>170</v>
      </c>
      <c r="E66" s="5"/>
      <c r="F66" s="5"/>
      <c r="G66" s="5"/>
      <c r="H66" s="5"/>
      <c r="I66" s="5"/>
      <c r="J66" s="5"/>
      <c r="K66" s="5"/>
    </row>
    <row r="67" spans="2:11">
      <c r="B67" s="1459" t="s">
        <v>89</v>
      </c>
      <c r="C67" s="73"/>
      <c r="D67" s="36"/>
      <c r="E67" s="5"/>
      <c r="F67" s="5"/>
      <c r="G67" s="5"/>
      <c r="H67" s="5"/>
      <c r="I67" s="5"/>
      <c r="J67" s="5"/>
      <c r="K67" s="5"/>
    </row>
    <row r="68" spans="2:11">
      <c r="B68" s="1460"/>
      <c r="C68" s="73"/>
      <c r="D68" s="13"/>
      <c r="E68" s="5"/>
      <c r="F68" s="5"/>
      <c r="G68" s="5"/>
      <c r="H68" s="5"/>
      <c r="I68" s="5"/>
      <c r="J68" s="5"/>
      <c r="K68" s="5"/>
    </row>
    <row r="69" spans="2:11">
      <c r="B69" s="1460"/>
      <c r="C69" s="73"/>
      <c r="D69" s="36" t="s">
        <v>90</v>
      </c>
      <c r="E69" s="5"/>
      <c r="F69" s="5"/>
      <c r="G69" s="5"/>
      <c r="H69" s="5"/>
      <c r="I69" s="5"/>
      <c r="J69" s="5"/>
      <c r="K69" s="5"/>
    </row>
    <row r="70" spans="2:11" ht="38.4">
      <c r="B70" s="1460"/>
      <c r="C70" s="73"/>
      <c r="D70" s="36" t="s">
        <v>171</v>
      </c>
      <c r="E70" s="5"/>
      <c r="F70" s="5"/>
      <c r="G70" s="5"/>
      <c r="H70" s="5"/>
      <c r="I70" s="5"/>
      <c r="J70" s="5"/>
      <c r="K70" s="5"/>
    </row>
    <row r="71" spans="2:11" ht="38.4">
      <c r="B71" s="1460"/>
      <c r="C71" s="73"/>
      <c r="D71" s="36" t="s">
        <v>172</v>
      </c>
      <c r="E71" s="5"/>
      <c r="F71" s="5"/>
      <c r="G71" s="5"/>
      <c r="H71" s="5"/>
      <c r="I71" s="5"/>
      <c r="J71" s="5"/>
      <c r="K71" s="5"/>
    </row>
    <row r="72" spans="2:11" ht="38.4">
      <c r="B72" s="1460"/>
      <c r="C72" s="73"/>
      <c r="D72" s="36" t="s">
        <v>173</v>
      </c>
      <c r="E72" s="5"/>
      <c r="F72" s="5"/>
      <c r="G72" s="5"/>
      <c r="H72" s="5"/>
      <c r="I72" s="5"/>
      <c r="J72" s="5"/>
      <c r="K72" s="5"/>
    </row>
    <row r="73" spans="2:11" ht="48.6" thickBot="1">
      <c r="B73" s="1461"/>
      <c r="C73" s="2"/>
      <c r="D73" s="32" t="s">
        <v>174</v>
      </c>
      <c r="E73" s="5"/>
      <c r="F73" s="5"/>
      <c r="G73" s="5"/>
      <c r="H73" s="5"/>
      <c r="I73" s="5"/>
      <c r="J73" s="5"/>
      <c r="K73" s="5"/>
    </row>
    <row r="74" spans="2:11">
      <c r="B74" s="5"/>
      <c r="D74" s="5"/>
      <c r="E74" s="5"/>
      <c r="F74" s="5"/>
      <c r="G74" s="5"/>
      <c r="H74" s="5"/>
      <c r="I74" s="5"/>
      <c r="J74" s="5"/>
      <c r="K74" s="5"/>
    </row>
    <row r="75" spans="2:11">
      <c r="B75" s="5"/>
      <c r="D75" s="5"/>
      <c r="E75" s="5"/>
      <c r="F75" s="5"/>
      <c r="G75" s="5"/>
      <c r="H75" s="5"/>
      <c r="I75" s="5"/>
      <c r="J75" s="5"/>
      <c r="K75" s="5"/>
    </row>
  </sheetData>
  <mergeCells count="23">
    <mergeCell ref="B10:D10"/>
    <mergeCell ref="F10:S10"/>
    <mergeCell ref="F11:S11"/>
    <mergeCell ref="E12:R12"/>
    <mergeCell ref="E13:R13"/>
    <mergeCell ref="B67:B73"/>
    <mergeCell ref="B15:B22"/>
    <mergeCell ref="D23:J23"/>
    <mergeCell ref="D24:J24"/>
    <mergeCell ref="B26:E26"/>
    <mergeCell ref="B27:B33"/>
    <mergeCell ref="B35:E35"/>
    <mergeCell ref="D15:J15"/>
    <mergeCell ref="D18:J18"/>
    <mergeCell ref="B36:B42"/>
    <mergeCell ref="B54:B62"/>
    <mergeCell ref="B64:B66"/>
    <mergeCell ref="B49:E49"/>
    <mergeCell ref="A1:P1"/>
    <mergeCell ref="A2:P2"/>
    <mergeCell ref="A3:P3"/>
    <mergeCell ref="A4:D4"/>
    <mergeCell ref="A5:P5"/>
  </mergeCells>
  <conditionalFormatting sqref="E12:R12">
    <cfRule type="expression" dxfId="115" priority="1">
      <formula>E11="SI SE REPORTA"</formula>
    </cfRule>
  </conditionalFormatting>
  <conditionalFormatting sqref="F10">
    <cfRule type="notContainsBlanks" dxfId="114" priority="4">
      <formula>LEN(TRIM(F10))&gt;0</formula>
    </cfRule>
  </conditionalFormatting>
  <conditionalFormatting sqref="F11:S11">
    <cfRule type="expression" dxfId="113" priority="2">
      <formula>E11="NO SE REPORTA"</formula>
    </cfRule>
    <cfRule type="expression" dxfId="112" priority="3">
      <formula>E10="NO APLICA"</formula>
    </cfRule>
  </conditionalFormatting>
  <dataValidations count="3">
    <dataValidation type="whole" operator="greaterThanOrEqual" allowBlank="1" showErrorMessage="1" errorTitle="ERROR" error="Escriba un número igual o mayor que 0" promptTitle="ERROR" prompt="Escriba un número igual o mayor que 0" sqref="E16:E17 E20:H21" xr:uid="{00000000-0002-0000-0700-000000000000}">
      <formula1>0</formula1>
    </dataValidation>
    <dataValidation type="list" allowBlank="1" showInputMessage="1" showErrorMessage="1" sqref="E11" xr:uid="{00000000-0002-0000-0700-000001000000}">
      <formula1>REPORTE</formula1>
    </dataValidation>
    <dataValidation type="list" allowBlank="1" showInputMessage="1" showErrorMessage="1" sqref="E10" xr:uid="{00000000-0002-0000-0700-000002000000}">
      <formula1>SI</formula1>
    </dataValidation>
  </dataValidations>
  <hyperlinks>
    <hyperlink ref="B9" location="'ANEXO 3'!A1" display="VOLVER AL INDICE" xr:uid="{00000000-0004-0000-0700-000000000000}"/>
    <hyperlink ref="E31" r:id="rId1" xr:uid="{00000000-0004-0000-0700-000001000000}"/>
  </hyperlinks>
  <pageMargins left="0.25" right="0.25" top="0.75" bottom="0.75" header="0.3" footer="0.3"/>
  <pageSetup paperSize="178" orientation="landscape" horizontalDpi="1200" verticalDpi="1200"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4">
    <tabColor theme="0"/>
  </sheetPr>
  <dimension ref="A1:U75"/>
  <sheetViews>
    <sheetView showGridLines="0" topLeftCell="A43" zoomScale="75" zoomScaleNormal="75" workbookViewId="0">
      <selection activeCell="T11" sqref="T11"/>
    </sheetView>
  </sheetViews>
  <sheetFormatPr baseColWidth="10" defaultRowHeight="14.4"/>
  <cols>
    <col min="1" max="1" width="1.88671875" customWidth="1"/>
    <col min="2" max="2" width="14.33203125" customWidth="1"/>
    <col min="3" max="3" width="7.44140625" style="66" customWidth="1"/>
    <col min="4" max="4" width="34.88671875" customWidth="1"/>
    <col min="5" max="5" width="24.5546875" customWidth="1"/>
  </cols>
  <sheetData>
    <row r="1" spans="1:21" s="314" customFormat="1" ht="100.5" customHeight="1" thickBot="1">
      <c r="A1" s="1421"/>
      <c r="B1" s="1422"/>
      <c r="C1" s="1422"/>
      <c r="D1" s="1422"/>
      <c r="E1" s="1422"/>
      <c r="F1" s="1422"/>
      <c r="G1" s="1422"/>
      <c r="H1" s="1422"/>
      <c r="I1" s="1422"/>
      <c r="J1" s="1422"/>
      <c r="K1" s="1422"/>
      <c r="L1" s="1422"/>
      <c r="M1" s="1422"/>
      <c r="N1" s="1422"/>
      <c r="O1" s="1422"/>
      <c r="P1" s="1423"/>
      <c r="Q1"/>
      <c r="R1"/>
    </row>
    <row r="2" spans="1:21" s="315" customFormat="1" ht="16.2" thickBot="1">
      <c r="A2" s="1418" t="str">
        <f>+'Datos Generales'!C5</f>
        <v>Corporación Autónoma Regional del Atlántico – CRA</v>
      </c>
      <c r="B2" s="1419"/>
      <c r="C2" s="1419"/>
      <c r="D2" s="1419"/>
      <c r="E2" s="1419"/>
      <c r="F2" s="1419"/>
      <c r="G2" s="1419"/>
      <c r="H2" s="1419"/>
      <c r="I2" s="1419"/>
      <c r="J2" s="1419"/>
      <c r="K2" s="1419"/>
      <c r="L2" s="1419"/>
      <c r="M2" s="1419"/>
      <c r="N2" s="1419"/>
      <c r="O2" s="1419"/>
      <c r="P2" s="1420"/>
      <c r="Q2"/>
      <c r="R2"/>
    </row>
    <row r="3" spans="1:21" s="315" customFormat="1" ht="16.2" thickBot="1">
      <c r="A3" s="1426" t="s">
        <v>1295</v>
      </c>
      <c r="B3" s="1427"/>
      <c r="C3" s="1427"/>
      <c r="D3" s="1427"/>
      <c r="E3" s="1427"/>
      <c r="F3" s="1427"/>
      <c r="G3" s="1427"/>
      <c r="H3" s="1427"/>
      <c r="I3" s="1427"/>
      <c r="J3" s="1427"/>
      <c r="K3" s="1427"/>
      <c r="L3" s="1427"/>
      <c r="M3" s="1427"/>
      <c r="N3" s="1427"/>
      <c r="O3" s="1427"/>
      <c r="P3" s="1428"/>
      <c r="Q3"/>
      <c r="R3"/>
    </row>
    <row r="4" spans="1:21" s="315" customFormat="1" ht="16.2" thickBot="1">
      <c r="A4" s="1424" t="s">
        <v>1294</v>
      </c>
      <c r="B4" s="1425"/>
      <c r="C4" s="1425"/>
      <c r="D4" s="1425"/>
      <c r="E4" s="322" t="str">
        <f>+'Datos Generales'!C6</f>
        <v>2023-II</v>
      </c>
      <c r="F4" s="322"/>
      <c r="G4" s="322"/>
      <c r="H4" s="322"/>
      <c r="I4" s="322"/>
      <c r="J4" s="322"/>
      <c r="K4" s="322"/>
      <c r="L4" s="323"/>
      <c r="M4" s="323"/>
      <c r="N4" s="323"/>
      <c r="O4" s="323"/>
      <c r="P4" s="324"/>
      <c r="Q4"/>
      <c r="R4"/>
    </row>
    <row r="5" spans="1:21" ht="16.5" customHeight="1" thickBot="1">
      <c r="A5" s="1426" t="s">
        <v>182</v>
      </c>
      <c r="B5" s="1427"/>
      <c r="C5" s="1427"/>
      <c r="D5" s="1427"/>
      <c r="E5" s="1427"/>
      <c r="F5" s="1427"/>
      <c r="G5" s="1427"/>
      <c r="H5" s="1427"/>
      <c r="I5" s="1427"/>
      <c r="J5" s="1427"/>
      <c r="K5" s="1427"/>
      <c r="L5" s="1427"/>
      <c r="M5" s="1427"/>
      <c r="N5" s="1427"/>
      <c r="O5" s="1427"/>
      <c r="P5" s="1428"/>
    </row>
    <row r="6" spans="1:21">
      <c r="B6" s="1" t="s">
        <v>1</v>
      </c>
      <c r="C6" s="64"/>
      <c r="D6" s="5"/>
      <c r="E6" s="62"/>
      <c r="F6" s="5" t="s">
        <v>127</v>
      </c>
      <c r="G6" s="5"/>
      <c r="H6" s="5"/>
      <c r="I6" s="5"/>
      <c r="J6" s="5"/>
      <c r="K6" s="5"/>
    </row>
    <row r="7" spans="1:21" ht="15" thickBot="1">
      <c r="B7" s="63"/>
      <c r="C7" s="65"/>
      <c r="D7" s="5"/>
      <c r="E7" s="14"/>
      <c r="F7" s="5" t="s">
        <v>128</v>
      </c>
      <c r="G7" s="5"/>
      <c r="H7" s="5"/>
      <c r="I7" s="5"/>
      <c r="J7" s="5"/>
      <c r="K7" s="5"/>
    </row>
    <row r="8" spans="1:21" ht="15" thickBot="1">
      <c r="B8" s="144" t="s">
        <v>1180</v>
      </c>
      <c r="C8" s="571">
        <v>2023</v>
      </c>
      <c r="D8" s="171" t="str">
        <f>+H23</f>
        <v>N.A.</v>
      </c>
      <c r="E8" s="168"/>
      <c r="F8" s="5" t="s">
        <v>129</v>
      </c>
      <c r="G8" s="5"/>
      <c r="H8" s="5"/>
      <c r="I8" s="5"/>
      <c r="J8" s="5"/>
      <c r="K8" s="5"/>
    </row>
    <row r="9" spans="1:21">
      <c r="B9" s="300" t="s">
        <v>1181</v>
      </c>
      <c r="C9" s="67"/>
      <c r="D9" s="5"/>
      <c r="E9" s="5"/>
      <c r="F9" s="5"/>
      <c r="G9" s="5"/>
      <c r="H9" s="5"/>
      <c r="I9" s="5"/>
      <c r="J9" s="5"/>
      <c r="K9" s="5"/>
    </row>
    <row r="10" spans="1:21">
      <c r="B10" s="1429" t="s">
        <v>1236</v>
      </c>
      <c r="C10" s="1429"/>
      <c r="D10" s="1429"/>
      <c r="E10" s="303" t="s">
        <v>1233</v>
      </c>
      <c r="F10" s="1436"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xml:space="preserve">      ESCRIBA EL NÚMERO DEL ACUERDO DEL CONSEJO DIRECTIVO EN LA CUAL SE APRUEBA LA AGENDA DE IMPLEMENTACION DEL INDICADOR</v>
      </c>
      <c r="G10" s="1437"/>
      <c r="H10" s="1437"/>
      <c r="I10" s="1437"/>
      <c r="J10" s="1437"/>
      <c r="K10" s="1437"/>
      <c r="L10" s="1437"/>
      <c r="M10" s="1437"/>
      <c r="N10" s="1437"/>
      <c r="O10" s="1437"/>
      <c r="P10" s="1437"/>
      <c r="Q10" s="1437"/>
      <c r="R10" s="1437"/>
      <c r="S10" s="1437"/>
      <c r="T10" s="5"/>
      <c r="U10" s="5"/>
    </row>
    <row r="11" spans="1:21" ht="14.4" customHeight="1">
      <c r="B11" s="302"/>
      <c r="C11" s="67"/>
      <c r="D11" s="144" t="str">
        <f>IF(E10="SI APLICA","¿El indicador no se reporta por limitaciones de información disponible? ","")</f>
        <v xml:space="preserve">¿El indicador no se reporta por limitaciones de información disponible? </v>
      </c>
      <c r="E11" s="304" t="s">
        <v>1234</v>
      </c>
      <c r="F11" s="1430" t="s">
        <v>1828</v>
      </c>
      <c r="G11" s="1431"/>
      <c r="H11" s="1431"/>
      <c r="I11" s="1431"/>
      <c r="J11" s="1431"/>
      <c r="K11" s="1431"/>
      <c r="L11" s="1431"/>
      <c r="M11" s="1431"/>
      <c r="N11" s="1431"/>
      <c r="O11" s="1431"/>
      <c r="P11" s="1431"/>
      <c r="Q11" s="1431"/>
      <c r="R11" s="1431"/>
      <c r="S11" s="1431"/>
    </row>
    <row r="12" spans="1:21" ht="23.4" customHeight="1">
      <c r="B12" s="300"/>
      <c r="C12" s="67"/>
      <c r="D12" s="144" t="str">
        <f>IF(E11="SI SE REPORTA","¿Qué programas o proyectos del Plan de Acción están asociados al indicador? ","")</f>
        <v/>
      </c>
      <c r="E12" s="1432"/>
      <c r="F12" s="1432"/>
      <c r="G12" s="1432"/>
      <c r="H12" s="1432"/>
      <c r="I12" s="1432"/>
      <c r="J12" s="1432"/>
      <c r="K12" s="1432"/>
      <c r="L12" s="1432"/>
      <c r="M12" s="1432"/>
      <c r="N12" s="1432"/>
      <c r="O12" s="1432"/>
      <c r="P12" s="1432"/>
      <c r="Q12" s="1432"/>
      <c r="R12" s="1432"/>
    </row>
    <row r="13" spans="1:21" ht="30" customHeight="1">
      <c r="B13" s="300"/>
      <c r="C13" s="67"/>
      <c r="D13" s="144" t="s">
        <v>1238</v>
      </c>
      <c r="E13" s="1433" t="s">
        <v>1827</v>
      </c>
      <c r="F13" s="1434"/>
      <c r="G13" s="1434"/>
      <c r="H13" s="1434"/>
      <c r="I13" s="1434"/>
      <c r="J13" s="1434"/>
      <c r="K13" s="1434"/>
      <c r="L13" s="1434"/>
      <c r="M13" s="1434"/>
      <c r="N13" s="1434"/>
      <c r="O13" s="1434"/>
      <c r="P13" s="1434"/>
      <c r="Q13" s="1434"/>
      <c r="R13" s="1435"/>
    </row>
    <row r="14" spans="1:21" ht="6.9" customHeight="1" thickBot="1">
      <c r="B14" s="300"/>
      <c r="C14" s="67"/>
      <c r="D14" s="5"/>
      <c r="E14" s="5"/>
      <c r="F14" s="5"/>
      <c r="G14" s="5"/>
      <c r="H14" s="5"/>
      <c r="I14" s="5"/>
      <c r="J14" s="5"/>
      <c r="K14" s="5"/>
    </row>
    <row r="15" spans="1:21" ht="15" thickBot="1">
      <c r="B15" s="1459" t="s">
        <v>2</v>
      </c>
      <c r="C15" s="68"/>
      <c r="D15" s="1450" t="s">
        <v>3</v>
      </c>
      <c r="E15" s="1451"/>
      <c r="F15" s="1451"/>
      <c r="G15" s="1451"/>
      <c r="H15" s="1451"/>
      <c r="I15" s="1451"/>
      <c r="J15" s="1452"/>
      <c r="K15" s="5"/>
    </row>
    <row r="16" spans="1:21" ht="27" customHeight="1" thickBot="1">
      <c r="B16" s="1460"/>
      <c r="C16" s="73"/>
      <c r="D16" s="34" t="s">
        <v>192</v>
      </c>
      <c r="E16" s="441">
        <v>17</v>
      </c>
      <c r="F16" s="5"/>
      <c r="G16" s="5"/>
      <c r="H16" s="5"/>
      <c r="I16" s="5"/>
      <c r="J16" s="17"/>
      <c r="K16" s="5"/>
    </row>
    <row r="17" spans="2:11" ht="40.5" customHeight="1" thickBot="1">
      <c r="B17" s="1460"/>
      <c r="C17" s="73"/>
      <c r="D17" s="32" t="s">
        <v>1926</v>
      </c>
      <c r="E17" s="441">
        <v>1</v>
      </c>
      <c r="F17" s="5"/>
      <c r="G17" s="5"/>
      <c r="H17" s="5"/>
      <c r="I17" s="5"/>
      <c r="J17" s="17"/>
      <c r="K17" s="5"/>
    </row>
    <row r="18" spans="2:11" ht="36.6" thickBot="1">
      <c r="B18" s="1460"/>
      <c r="C18" s="73"/>
      <c r="D18" s="32" t="s">
        <v>193</v>
      </c>
      <c r="E18" s="441">
        <v>0</v>
      </c>
      <c r="F18" s="5"/>
      <c r="G18" s="5"/>
      <c r="H18" s="5"/>
      <c r="I18" s="5"/>
      <c r="J18" s="17"/>
      <c r="K18" s="5"/>
    </row>
    <row r="19" spans="2:11" ht="15" thickBot="1">
      <c r="B19" s="1460"/>
      <c r="C19" s="71"/>
      <c r="D19" s="1472"/>
      <c r="E19" s="1473"/>
      <c r="F19" s="1473"/>
      <c r="G19" s="1473"/>
      <c r="H19" s="1473"/>
      <c r="I19" s="1473"/>
      <c r="J19" s="1474"/>
      <c r="K19" s="5"/>
    </row>
    <row r="20" spans="2:11" ht="15" thickBot="1">
      <c r="B20" s="1460"/>
      <c r="C20" s="77" t="s">
        <v>18</v>
      </c>
      <c r="D20" s="34" t="s">
        <v>149</v>
      </c>
      <c r="E20" s="69" t="s">
        <v>19</v>
      </c>
      <c r="F20" s="69" t="s">
        <v>20</v>
      </c>
      <c r="G20" s="69" t="s">
        <v>21</v>
      </c>
      <c r="H20" s="69" t="s">
        <v>22</v>
      </c>
      <c r="I20" s="69" t="s">
        <v>150</v>
      </c>
      <c r="J20" s="89"/>
      <c r="K20" s="5"/>
    </row>
    <row r="21" spans="2:11" ht="24.6" thickBot="1">
      <c r="B21" s="1460"/>
      <c r="C21" s="2" t="s">
        <v>151</v>
      </c>
      <c r="D21" s="32" t="s">
        <v>194</v>
      </c>
      <c r="E21" s="441">
        <v>0</v>
      </c>
      <c r="F21" s="441">
        <v>0</v>
      </c>
      <c r="G21" s="441">
        <v>0</v>
      </c>
      <c r="H21" s="441">
        <v>0</v>
      </c>
      <c r="I21" s="523">
        <f>SUM(E21:H21)</f>
        <v>0</v>
      </c>
      <c r="J21" s="90"/>
      <c r="K21" s="5"/>
    </row>
    <row r="22" spans="2:11" ht="24.6" thickBot="1">
      <c r="B22" s="1460"/>
      <c r="C22" s="2" t="s">
        <v>153</v>
      </c>
      <c r="D22" s="32" t="s">
        <v>195</v>
      </c>
      <c r="E22" s="441">
        <v>0</v>
      </c>
      <c r="F22" s="441">
        <v>0</v>
      </c>
      <c r="G22" s="441"/>
      <c r="H22" s="441"/>
      <c r="I22" s="523">
        <f>SUM(E22:H22)</f>
        <v>0</v>
      </c>
      <c r="J22" s="90"/>
      <c r="K22" s="5"/>
    </row>
    <row r="23" spans="2:11" ht="36.6" thickBot="1">
      <c r="B23" s="1461"/>
      <c r="C23" s="2" t="s">
        <v>155</v>
      </c>
      <c r="D23" s="32" t="s">
        <v>196</v>
      </c>
      <c r="E23" s="490" t="str">
        <f>IFERROR(E22/E21,"N.A.")</f>
        <v>N.A.</v>
      </c>
      <c r="F23" s="490" t="str">
        <f>IFERROR(F22/F21,"N.A.")</f>
        <v>N.A.</v>
      </c>
      <c r="G23" s="490" t="str">
        <f>IFERROR(G22/G21,"N.A.")</f>
        <v>N.A.</v>
      </c>
      <c r="H23" s="490" t="str">
        <f>IFERROR(H22/H21,"N.A.")</f>
        <v>N.A.</v>
      </c>
      <c r="I23" s="490" t="str">
        <f>IFERROR(I22/I21,"N.A.")</f>
        <v>N.A.</v>
      </c>
      <c r="J23" s="91"/>
      <c r="K23" s="5"/>
    </row>
    <row r="24" spans="2:11" ht="24" customHeight="1" thickBot="1">
      <c r="B24" s="37" t="s">
        <v>33</v>
      </c>
      <c r="C24" s="72"/>
      <c r="D24" s="1462" t="s">
        <v>197</v>
      </c>
      <c r="E24" s="1463"/>
      <c r="F24" s="1463"/>
      <c r="G24" s="1463"/>
      <c r="H24" s="1463"/>
      <c r="I24" s="1463"/>
      <c r="J24" s="1464"/>
      <c r="K24" s="5"/>
    </row>
    <row r="25" spans="2:11" ht="24.6" thickBot="1">
      <c r="B25" s="37" t="s">
        <v>35</v>
      </c>
      <c r="C25" s="72"/>
      <c r="D25" s="1462" t="s">
        <v>158</v>
      </c>
      <c r="E25" s="1463"/>
      <c r="F25" s="1463"/>
      <c r="G25" s="1463"/>
      <c r="H25" s="1463"/>
      <c r="I25" s="1463"/>
      <c r="J25" s="1464"/>
      <c r="K25" s="5"/>
    </row>
    <row r="26" spans="2:11" ht="15" thickBot="1">
      <c r="B26" s="1"/>
      <c r="C26" s="64"/>
      <c r="D26" s="5"/>
      <c r="E26" s="5"/>
      <c r="F26" s="5"/>
      <c r="G26" s="5"/>
      <c r="H26" s="5"/>
      <c r="I26" s="5"/>
      <c r="J26" s="5"/>
      <c r="K26" s="5"/>
    </row>
    <row r="27" spans="2:11" ht="15" customHeight="1" thickBot="1">
      <c r="B27" s="97" t="s">
        <v>37</v>
      </c>
      <c r="C27" s="98"/>
      <c r="D27" s="98"/>
      <c r="E27" s="98"/>
      <c r="F27" s="99"/>
      <c r="G27" s="5"/>
      <c r="H27" s="5"/>
      <c r="I27" s="5"/>
      <c r="J27" s="5"/>
      <c r="K27" s="5"/>
    </row>
    <row r="28" spans="2:11" ht="15" thickBot="1">
      <c r="B28" s="1459">
        <v>1</v>
      </c>
      <c r="C28" s="73"/>
      <c r="D28" s="38" t="s">
        <v>38</v>
      </c>
      <c r="E28" s="133" t="s">
        <v>1814</v>
      </c>
      <c r="F28" s="49"/>
      <c r="G28" s="5"/>
      <c r="H28" s="5"/>
      <c r="I28" s="5"/>
      <c r="J28" s="5"/>
      <c r="K28" s="5"/>
    </row>
    <row r="29" spans="2:11" ht="15" thickBot="1">
      <c r="B29" s="1460"/>
      <c r="C29" s="73"/>
      <c r="D29" s="32" t="s">
        <v>39</v>
      </c>
      <c r="E29" s="282" t="s">
        <v>2006</v>
      </c>
      <c r="F29" s="49"/>
      <c r="G29" s="5"/>
      <c r="H29" s="5"/>
      <c r="I29" s="5"/>
      <c r="J29" s="5"/>
      <c r="K29" s="5"/>
    </row>
    <row r="30" spans="2:11" ht="15" thickBot="1">
      <c r="B30" s="1460"/>
      <c r="C30" s="73"/>
      <c r="D30" s="32" t="s">
        <v>40</v>
      </c>
      <c r="E30" s="282" t="s">
        <v>1821</v>
      </c>
      <c r="F30" s="49"/>
      <c r="G30" s="5"/>
      <c r="H30" s="5"/>
      <c r="I30" s="5"/>
      <c r="J30" s="5"/>
      <c r="K30" s="5"/>
    </row>
    <row r="31" spans="2:11" ht="15" thickBot="1">
      <c r="B31" s="1460"/>
      <c r="C31" s="73"/>
      <c r="D31" s="32" t="s">
        <v>41</v>
      </c>
      <c r="E31" s="133" t="s">
        <v>2052</v>
      </c>
      <c r="F31" s="49"/>
      <c r="G31" s="5"/>
      <c r="H31" s="5"/>
      <c r="I31" s="5"/>
      <c r="J31" s="5"/>
      <c r="K31" s="5"/>
    </row>
    <row r="32" spans="2:11" ht="15" thickBot="1">
      <c r="B32" s="1460"/>
      <c r="C32" s="73"/>
      <c r="D32" s="32" t="s">
        <v>42</v>
      </c>
      <c r="E32" s="448" t="s">
        <v>1816</v>
      </c>
      <c r="F32" s="49"/>
      <c r="G32" s="5"/>
      <c r="H32" s="5"/>
      <c r="I32" s="5"/>
      <c r="J32" s="5"/>
      <c r="K32" s="5"/>
    </row>
    <row r="33" spans="2:11" ht="15" thickBot="1">
      <c r="B33" s="1460"/>
      <c r="C33" s="73"/>
      <c r="D33" s="32" t="s">
        <v>43</v>
      </c>
      <c r="E33" s="133">
        <v>3686626</v>
      </c>
      <c r="F33" s="49"/>
      <c r="G33" s="5"/>
      <c r="H33" s="5"/>
      <c r="I33" s="5"/>
      <c r="J33" s="5"/>
      <c r="K33" s="5"/>
    </row>
    <row r="34" spans="2:11" ht="15" thickBot="1">
      <c r="B34" s="1461"/>
      <c r="C34" s="2"/>
      <c r="D34" s="32" t="s">
        <v>44</v>
      </c>
      <c r="E34" s="282" t="s">
        <v>1817</v>
      </c>
      <c r="F34" s="49"/>
      <c r="G34" s="5"/>
      <c r="H34" s="5"/>
      <c r="I34" s="5"/>
      <c r="J34" s="5"/>
      <c r="K34" s="5"/>
    </row>
    <row r="35" spans="2:11" ht="15" thickBot="1">
      <c r="B35" s="1"/>
      <c r="C35" s="64"/>
      <c r="D35" s="5"/>
      <c r="E35" s="5"/>
      <c r="F35" s="5"/>
      <c r="G35" s="5"/>
      <c r="H35" s="5"/>
      <c r="I35" s="5"/>
      <c r="J35" s="5"/>
      <c r="K35" s="5"/>
    </row>
    <row r="36" spans="2:11" ht="15" customHeight="1" thickBot="1">
      <c r="B36" s="97" t="s">
        <v>45</v>
      </c>
      <c r="C36" s="98"/>
      <c r="D36" s="98"/>
      <c r="E36" s="99"/>
      <c r="F36" s="570"/>
      <c r="G36" s="5"/>
      <c r="H36" s="5"/>
      <c r="I36" s="5"/>
      <c r="J36" s="5"/>
      <c r="K36" s="5"/>
    </row>
    <row r="37" spans="2:11" ht="24.6" thickBot="1">
      <c r="B37" s="1459">
        <v>1</v>
      </c>
      <c r="C37" s="73"/>
      <c r="D37" s="38" t="s">
        <v>38</v>
      </c>
      <c r="E37" s="569" t="s">
        <v>46</v>
      </c>
      <c r="F37" s="49"/>
      <c r="G37" s="5"/>
      <c r="H37" s="5"/>
      <c r="I37" s="5"/>
      <c r="J37" s="5"/>
      <c r="K37" s="5"/>
    </row>
    <row r="38" spans="2:11" ht="36.6" thickBot="1">
      <c r="B38" s="1460"/>
      <c r="C38" s="73"/>
      <c r="D38" s="32" t="s">
        <v>39</v>
      </c>
      <c r="E38" s="569" t="s">
        <v>159</v>
      </c>
      <c r="F38" s="49"/>
      <c r="G38" s="5"/>
      <c r="H38" s="5"/>
      <c r="I38" s="5"/>
      <c r="J38" s="5"/>
      <c r="K38" s="5"/>
    </row>
    <row r="39" spans="2:11" ht="15" thickBot="1">
      <c r="B39" s="1460"/>
      <c r="C39" s="73"/>
      <c r="D39" s="32" t="s">
        <v>40</v>
      </c>
      <c r="E39" s="194"/>
      <c r="F39" s="49"/>
      <c r="G39" s="5"/>
      <c r="H39" s="5"/>
      <c r="I39" s="5"/>
      <c r="J39" s="5"/>
      <c r="K39" s="5"/>
    </row>
    <row r="40" spans="2:11" ht="15" thickBot="1">
      <c r="B40" s="1460"/>
      <c r="C40" s="73"/>
      <c r="D40" s="32" t="s">
        <v>41</v>
      </c>
      <c r="E40" s="194"/>
      <c r="F40" s="49"/>
      <c r="G40" s="5"/>
      <c r="H40" s="5"/>
      <c r="I40" s="5"/>
      <c r="J40" s="5"/>
      <c r="K40" s="5"/>
    </row>
    <row r="41" spans="2:11" ht="15" thickBot="1">
      <c r="B41" s="1460"/>
      <c r="C41" s="73"/>
      <c r="D41" s="32" t="s">
        <v>42</v>
      </c>
      <c r="E41" s="194"/>
      <c r="F41" s="49"/>
      <c r="G41" s="5"/>
      <c r="H41" s="5"/>
      <c r="I41" s="5"/>
      <c r="J41" s="5"/>
      <c r="K41" s="5"/>
    </row>
    <row r="42" spans="2:11" ht="15" thickBot="1">
      <c r="B42" s="1460"/>
      <c r="C42" s="73"/>
      <c r="D42" s="32" t="s">
        <v>43</v>
      </c>
      <c r="E42" s="194"/>
      <c r="F42" s="49"/>
      <c r="G42" s="5"/>
      <c r="H42" s="5"/>
      <c r="I42" s="5"/>
      <c r="J42" s="5"/>
      <c r="K42" s="5"/>
    </row>
    <row r="43" spans="2:11" ht="15" thickBot="1">
      <c r="B43" s="1461"/>
      <c r="C43" s="2"/>
      <c r="D43" s="32" t="s">
        <v>44</v>
      </c>
      <c r="E43" s="194"/>
      <c r="F43" s="49"/>
      <c r="G43" s="5"/>
      <c r="H43" s="5"/>
      <c r="I43" s="5"/>
      <c r="J43" s="5"/>
      <c r="K43" s="5"/>
    </row>
    <row r="44" spans="2:11" ht="15" thickBot="1">
      <c r="B44" s="1"/>
      <c r="C44" s="64"/>
      <c r="D44" s="5"/>
      <c r="E44" s="5"/>
      <c r="F44" s="5"/>
      <c r="G44" s="5"/>
      <c r="H44" s="5"/>
      <c r="I44" s="5"/>
      <c r="J44" s="5"/>
      <c r="K44" s="5"/>
    </row>
    <row r="45" spans="2:11" ht="15" customHeight="1" thickBot="1">
      <c r="B45" s="97" t="s">
        <v>48</v>
      </c>
      <c r="C45" s="98"/>
      <c r="D45" s="98"/>
      <c r="E45" s="99"/>
      <c r="G45" s="5"/>
      <c r="H45" s="5"/>
      <c r="I45" s="5"/>
      <c r="J45" s="5"/>
      <c r="K45" s="5"/>
    </row>
    <row r="46" spans="2:11" ht="24.6" thickBot="1">
      <c r="B46" s="37" t="s">
        <v>49</v>
      </c>
      <c r="C46" s="32" t="s">
        <v>50</v>
      </c>
      <c r="D46" s="32" t="s">
        <v>51</v>
      </c>
      <c r="E46" s="32" t="s">
        <v>52</v>
      </c>
      <c r="F46" s="5"/>
      <c r="G46" s="5"/>
      <c r="H46" s="5"/>
      <c r="I46" s="5"/>
      <c r="J46" s="5"/>
    </row>
    <row r="47" spans="2:11" ht="60.6" thickBot="1">
      <c r="B47" s="39">
        <v>42401</v>
      </c>
      <c r="C47" s="32">
        <v>0.01</v>
      </c>
      <c r="D47" s="58" t="s">
        <v>198</v>
      </c>
      <c r="E47" s="32"/>
      <c r="F47" s="5"/>
      <c r="G47" s="5"/>
      <c r="H47" s="5"/>
      <c r="I47" s="5"/>
      <c r="J47" s="5"/>
    </row>
    <row r="48" spans="2:11" ht="15" thickBot="1">
      <c r="B48" s="3"/>
      <c r="C48" s="74"/>
      <c r="D48" s="5"/>
      <c r="E48" s="5"/>
      <c r="F48" s="5"/>
      <c r="G48" s="5"/>
      <c r="H48" s="5"/>
      <c r="I48" s="5"/>
      <c r="J48" s="5"/>
      <c r="K48" s="5"/>
    </row>
    <row r="49" spans="2:11" ht="15" thickBot="1">
      <c r="B49" s="106" t="s">
        <v>54</v>
      </c>
      <c r="C49" s="75"/>
      <c r="D49" s="5"/>
      <c r="E49" s="5"/>
      <c r="F49" s="5"/>
      <c r="G49" s="5"/>
      <c r="H49" s="5"/>
      <c r="I49" s="5"/>
      <c r="J49" s="5"/>
      <c r="K49" s="5"/>
    </row>
    <row r="50" spans="2:11">
      <c r="B50" s="1532"/>
      <c r="C50" s="1533"/>
      <c r="D50" s="1533"/>
      <c r="E50" s="1534"/>
      <c r="F50" s="5"/>
      <c r="G50" s="5"/>
      <c r="H50" s="5"/>
      <c r="I50" s="5"/>
      <c r="J50" s="5"/>
      <c r="K50" s="5"/>
    </row>
    <row r="51" spans="2:11" ht="15" thickBot="1">
      <c r="B51" s="1535"/>
      <c r="C51" s="1536"/>
      <c r="D51" s="1536"/>
      <c r="E51" s="1537"/>
      <c r="F51" s="5"/>
      <c r="G51" s="5"/>
      <c r="H51" s="5"/>
      <c r="I51" s="5"/>
      <c r="J51" s="5"/>
      <c r="K51" s="5"/>
    </row>
    <row r="52" spans="2:11" ht="15" thickBot="1">
      <c r="B52" s="5"/>
      <c r="D52" s="5"/>
      <c r="E52" s="5"/>
      <c r="F52" s="5"/>
      <c r="G52" s="5"/>
      <c r="H52" s="5"/>
      <c r="I52" s="5"/>
      <c r="J52" s="5"/>
      <c r="K52" s="5"/>
    </row>
    <row r="53" spans="2:11" ht="24.6" thickBot="1">
      <c r="B53" s="41" t="s">
        <v>55</v>
      </c>
      <c r="C53" s="76"/>
      <c r="D53" s="5"/>
      <c r="E53" s="5"/>
      <c r="F53" s="5"/>
      <c r="G53" s="5"/>
      <c r="H53" s="5"/>
      <c r="I53" s="5"/>
      <c r="J53" s="5"/>
      <c r="K53" s="5"/>
    </row>
    <row r="54" spans="2:11" ht="15" thickBot="1">
      <c r="B54" s="1"/>
      <c r="C54" s="64"/>
      <c r="D54" s="5"/>
      <c r="E54" s="5"/>
      <c r="F54" s="5"/>
      <c r="G54" s="5"/>
      <c r="H54" s="5"/>
      <c r="I54" s="5"/>
      <c r="J54" s="5"/>
      <c r="K54" s="5"/>
    </row>
    <row r="55" spans="2:11" ht="60.6" thickBot="1">
      <c r="B55" s="42" t="s">
        <v>56</v>
      </c>
      <c r="C55" s="77"/>
      <c r="D55" s="34" t="s">
        <v>183</v>
      </c>
      <c r="E55" s="5"/>
      <c r="F55" s="5"/>
      <c r="G55" s="5"/>
      <c r="H55" s="5"/>
      <c r="I55" s="5"/>
      <c r="J55" s="5"/>
      <c r="K55" s="5"/>
    </row>
    <row r="56" spans="2:11">
      <c r="B56" s="1459" t="s">
        <v>58</v>
      </c>
      <c r="C56" s="73"/>
      <c r="D56" s="43" t="s">
        <v>59</v>
      </c>
      <c r="E56" s="5"/>
      <c r="F56" s="5"/>
      <c r="G56" s="5"/>
      <c r="H56" s="5"/>
      <c r="I56" s="5"/>
      <c r="J56" s="5"/>
      <c r="K56" s="5"/>
    </row>
    <row r="57" spans="2:11" ht="48">
      <c r="B57" s="1460"/>
      <c r="C57" s="73"/>
      <c r="D57" s="36" t="s">
        <v>184</v>
      </c>
      <c r="E57" s="5"/>
      <c r="F57" s="5"/>
      <c r="G57" s="5"/>
      <c r="H57" s="5"/>
      <c r="I57" s="5"/>
      <c r="J57" s="5"/>
      <c r="K57" s="5"/>
    </row>
    <row r="58" spans="2:11">
      <c r="B58" s="1460"/>
      <c r="C58" s="73"/>
      <c r="D58" s="43" t="s">
        <v>133</v>
      </c>
      <c r="E58" s="5"/>
      <c r="F58" s="5"/>
      <c r="G58" s="5"/>
      <c r="H58" s="5"/>
      <c r="I58" s="5"/>
      <c r="J58" s="5"/>
      <c r="K58" s="5"/>
    </row>
    <row r="59" spans="2:11">
      <c r="B59" s="1460"/>
      <c r="C59" s="73"/>
      <c r="D59" s="36" t="s">
        <v>135</v>
      </c>
      <c r="E59" s="5"/>
      <c r="F59" s="5"/>
      <c r="G59" s="5"/>
      <c r="H59" s="5"/>
      <c r="I59" s="5"/>
      <c r="J59" s="5"/>
      <c r="K59" s="5"/>
    </row>
    <row r="60" spans="2:11">
      <c r="B60" s="1460"/>
      <c r="C60" s="73"/>
      <c r="D60" s="36" t="s">
        <v>164</v>
      </c>
      <c r="E60" s="5"/>
      <c r="F60" s="5"/>
      <c r="G60" s="5"/>
      <c r="H60" s="5"/>
      <c r="I60" s="5"/>
      <c r="J60" s="5"/>
      <c r="K60" s="5"/>
    </row>
    <row r="61" spans="2:11" ht="36">
      <c r="B61" s="1460"/>
      <c r="C61" s="73"/>
      <c r="D61" s="36" t="s">
        <v>139</v>
      </c>
      <c r="E61" s="5"/>
      <c r="F61" s="5"/>
      <c r="G61" s="5"/>
      <c r="H61" s="5"/>
      <c r="I61" s="5"/>
      <c r="J61" s="5"/>
      <c r="K61" s="5"/>
    </row>
    <row r="62" spans="2:11">
      <c r="B62" s="1460"/>
      <c r="C62" s="73"/>
      <c r="D62" s="43" t="s">
        <v>140</v>
      </c>
      <c r="E62" s="5"/>
      <c r="F62" s="5"/>
      <c r="G62" s="5"/>
      <c r="H62" s="5"/>
      <c r="I62" s="5"/>
      <c r="J62" s="5"/>
      <c r="K62" s="5"/>
    </row>
    <row r="63" spans="2:11" ht="24.6" thickBot="1">
      <c r="B63" s="1461"/>
      <c r="C63" s="2"/>
      <c r="D63" s="32" t="s">
        <v>141</v>
      </c>
      <c r="E63" s="5"/>
      <c r="F63" s="5"/>
      <c r="G63" s="5"/>
      <c r="H63" s="5"/>
      <c r="I63" s="5"/>
      <c r="J63" s="5"/>
      <c r="K63" s="5"/>
    </row>
    <row r="64" spans="2:11" ht="15" thickBot="1">
      <c r="B64" s="37" t="s">
        <v>71</v>
      </c>
      <c r="C64" s="2"/>
      <c r="D64" s="32"/>
      <c r="E64" s="5"/>
      <c r="F64" s="5"/>
      <c r="G64" s="5"/>
      <c r="H64" s="5"/>
      <c r="I64" s="5"/>
      <c r="J64" s="5"/>
      <c r="K64" s="5"/>
    </row>
    <row r="65" spans="2:11" ht="96">
      <c r="B65" s="1459" t="s">
        <v>72</v>
      </c>
      <c r="C65" s="73"/>
      <c r="D65" s="36" t="s">
        <v>185</v>
      </c>
      <c r="E65" s="5"/>
      <c r="F65" s="5"/>
      <c r="G65" s="5"/>
      <c r="H65" s="5"/>
      <c r="I65" s="5"/>
      <c r="J65" s="5"/>
      <c r="K65" s="5"/>
    </row>
    <row r="66" spans="2:11" ht="216">
      <c r="B66" s="1460"/>
      <c r="C66" s="73"/>
      <c r="D66" s="36" t="s">
        <v>186</v>
      </c>
      <c r="E66" s="5"/>
      <c r="F66" s="5"/>
      <c r="G66" s="5"/>
      <c r="H66" s="5"/>
      <c r="I66" s="5"/>
      <c r="J66" s="5"/>
      <c r="K66" s="5"/>
    </row>
    <row r="67" spans="2:11" ht="36.6" thickBot="1">
      <c r="B67" s="1461"/>
      <c r="C67" s="2"/>
      <c r="D67" s="32" t="s">
        <v>187</v>
      </c>
      <c r="E67" s="5"/>
      <c r="F67" s="5"/>
      <c r="G67" s="5"/>
      <c r="H67" s="5"/>
      <c r="I67" s="5"/>
      <c r="J67" s="5"/>
      <c r="K67" s="5"/>
    </row>
    <row r="68" spans="2:11">
      <c r="B68" s="1459" t="s">
        <v>89</v>
      </c>
      <c r="C68" s="73"/>
      <c r="D68" s="36"/>
      <c r="E68" s="5"/>
      <c r="F68" s="5"/>
      <c r="G68" s="5"/>
      <c r="H68" s="5"/>
      <c r="I68" s="5"/>
      <c r="J68" s="5"/>
      <c r="K68" s="5"/>
    </row>
    <row r="69" spans="2:11">
      <c r="B69" s="1460"/>
      <c r="C69" s="73"/>
      <c r="D69" s="13"/>
      <c r="E69" s="5"/>
      <c r="F69" s="5"/>
      <c r="G69" s="5"/>
      <c r="H69" s="5"/>
      <c r="I69" s="5"/>
      <c r="J69" s="5"/>
      <c r="K69" s="5"/>
    </row>
    <row r="70" spans="2:11">
      <c r="B70" s="1460"/>
      <c r="C70" s="73"/>
      <c r="D70" s="36" t="s">
        <v>90</v>
      </c>
      <c r="E70" s="5"/>
      <c r="F70" s="5"/>
      <c r="G70" s="5"/>
      <c r="H70" s="5"/>
      <c r="I70" s="5"/>
      <c r="J70" s="5"/>
      <c r="K70" s="5"/>
    </row>
    <row r="71" spans="2:11" ht="38.4">
      <c r="B71" s="1460"/>
      <c r="C71" s="73"/>
      <c r="D71" s="36" t="s">
        <v>188</v>
      </c>
      <c r="E71" s="5"/>
      <c r="F71" s="5"/>
      <c r="G71" s="5"/>
      <c r="H71" s="5"/>
      <c r="I71" s="5"/>
      <c r="J71" s="5"/>
      <c r="K71" s="5"/>
    </row>
    <row r="72" spans="2:11" ht="38.4">
      <c r="B72" s="1460"/>
      <c r="C72" s="73"/>
      <c r="D72" s="36" t="s">
        <v>189</v>
      </c>
      <c r="E72" s="5"/>
      <c r="F72" s="5"/>
      <c r="G72" s="5"/>
      <c r="H72" s="5"/>
      <c r="I72" s="5"/>
      <c r="J72" s="5"/>
      <c r="K72" s="5"/>
    </row>
    <row r="73" spans="2:11" ht="38.4">
      <c r="B73" s="1460"/>
      <c r="C73" s="73"/>
      <c r="D73" s="36" t="s">
        <v>190</v>
      </c>
      <c r="E73" s="5"/>
      <c r="F73" s="5"/>
      <c r="G73" s="5"/>
      <c r="H73" s="5"/>
      <c r="I73" s="5"/>
      <c r="J73" s="5"/>
      <c r="K73" s="5"/>
    </row>
    <row r="74" spans="2:11" ht="48.6" thickBot="1">
      <c r="B74" s="1461"/>
      <c r="C74" s="2"/>
      <c r="D74" s="32" t="s">
        <v>191</v>
      </c>
      <c r="E74" s="5"/>
      <c r="F74" s="5"/>
      <c r="G74" s="5"/>
      <c r="H74" s="5"/>
      <c r="I74" s="5"/>
      <c r="J74" s="5"/>
      <c r="K74" s="5"/>
    </row>
    <row r="75" spans="2:11">
      <c r="B75" s="5"/>
      <c r="D75" s="5"/>
      <c r="E75" s="5"/>
      <c r="F75" s="5"/>
      <c r="G75" s="5"/>
      <c r="H75" s="5"/>
      <c r="I75" s="5"/>
      <c r="J75" s="5"/>
      <c r="K75" s="5"/>
    </row>
  </sheetData>
  <mergeCells count="21">
    <mergeCell ref="B10:D10"/>
    <mergeCell ref="F10:S10"/>
    <mergeCell ref="F11:S11"/>
    <mergeCell ref="E12:R12"/>
    <mergeCell ref="E13:R13"/>
    <mergeCell ref="B56:B63"/>
    <mergeCell ref="B65:B67"/>
    <mergeCell ref="B68:B74"/>
    <mergeCell ref="B15:B23"/>
    <mergeCell ref="D15:J15"/>
    <mergeCell ref="D19:J19"/>
    <mergeCell ref="D24:J24"/>
    <mergeCell ref="D25:J25"/>
    <mergeCell ref="B28:B34"/>
    <mergeCell ref="B37:B43"/>
    <mergeCell ref="B50:E51"/>
    <mergeCell ref="A1:P1"/>
    <mergeCell ref="A2:P2"/>
    <mergeCell ref="A3:P3"/>
    <mergeCell ref="A4:D4"/>
    <mergeCell ref="A5:P5"/>
  </mergeCells>
  <conditionalFormatting sqref="E12:R12">
    <cfRule type="expression" dxfId="111" priority="1">
      <formula>E11="SI SE REPORTA"</formula>
    </cfRule>
  </conditionalFormatting>
  <conditionalFormatting sqref="F10">
    <cfRule type="notContainsBlanks" dxfId="110" priority="4">
      <formula>LEN(TRIM(F10))&gt;0</formula>
    </cfRule>
  </conditionalFormatting>
  <conditionalFormatting sqref="F11:S11">
    <cfRule type="expression" dxfId="109" priority="2">
      <formula>E11="NO SE REPORTA"</formula>
    </cfRule>
    <cfRule type="expression" dxfId="108" priority="3">
      <formula>E10="NO APLICA"</formula>
    </cfRule>
  </conditionalFormatting>
  <dataValidations count="4">
    <dataValidation type="whole" operator="greaterThanOrEqual" allowBlank="1" showErrorMessage="1" errorTitle="ERROR" error="Escriba un número igual o mayor que 0" promptTitle="ERROR" prompt="Escriba un número igual o mayor que 0" sqref="E16:E18 E21:H22" xr:uid="{00000000-0002-0000-0800-000000000000}">
      <formula1>0</formula1>
    </dataValidation>
    <dataValidation allowBlank="1" showInputMessage="1" showErrorMessage="1" sqref="I21:I22" xr:uid="{00000000-0002-0000-0800-000001000000}"/>
    <dataValidation type="list" allowBlank="1" showInputMessage="1" showErrorMessage="1" sqref="E11" xr:uid="{00000000-0002-0000-0800-000002000000}">
      <formula1>REPORTE</formula1>
    </dataValidation>
    <dataValidation type="list" allowBlank="1" showInputMessage="1" showErrorMessage="1" sqref="E10" xr:uid="{00000000-0002-0000-0800-000003000000}">
      <formula1>SI</formula1>
    </dataValidation>
  </dataValidations>
  <hyperlinks>
    <hyperlink ref="B9" location="'ANEXO 3'!A1" display="VOLVER AL INDICE" xr:uid="{00000000-0004-0000-0800-000000000000}"/>
    <hyperlink ref="E32" r:id="rId1" xr:uid="{00000000-0004-0000-0800-000001000000}"/>
  </hyperlinks>
  <pageMargins left="0.25" right="0.25" top="0.75" bottom="0.75" header="0.3" footer="0.3"/>
  <pageSetup paperSize="178" orientation="landscape" horizontalDpi="1200" verticalDpi="1200"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5"/>
  <dimension ref="A1:U78"/>
  <sheetViews>
    <sheetView showGridLines="0" topLeftCell="A4" zoomScale="78" zoomScaleNormal="78" workbookViewId="0">
      <selection activeCell="H22" sqref="H22"/>
    </sheetView>
  </sheetViews>
  <sheetFormatPr baseColWidth="10" defaultRowHeight="14.4"/>
  <cols>
    <col min="1" max="1" width="1.88671875" customWidth="1"/>
    <col min="2" max="2" width="12.88671875" customWidth="1"/>
    <col min="3" max="3" width="8.5546875" style="66" customWidth="1"/>
    <col min="4" max="4" width="34.88671875" customWidth="1"/>
    <col min="5" max="5" width="17.5546875" customWidth="1"/>
    <col min="10" max="10" width="25.88671875" customWidth="1"/>
  </cols>
  <sheetData>
    <row r="1" spans="1:21" s="314" customFormat="1" ht="100.5" customHeight="1" thickBot="1">
      <c r="A1" s="1421"/>
      <c r="B1" s="1422"/>
      <c r="C1" s="1422"/>
      <c r="D1" s="1422"/>
      <c r="E1" s="1422"/>
      <c r="F1" s="1422"/>
      <c r="G1" s="1422"/>
      <c r="H1" s="1422"/>
      <c r="I1" s="1422"/>
      <c r="J1" s="1422"/>
      <c r="K1" s="1422"/>
      <c r="L1" s="1422"/>
      <c r="M1" s="1422"/>
      <c r="N1" s="1422"/>
      <c r="O1" s="1422"/>
      <c r="P1" s="1423"/>
      <c r="Q1"/>
      <c r="R1"/>
    </row>
    <row r="2" spans="1:21" s="315" customFormat="1" ht="16.2" thickBot="1">
      <c r="A2" s="1418" t="str">
        <f>+'[8]Datos Generales'!C5</f>
        <v>Corporación Autónoma Regional del Atlántico – CRA</v>
      </c>
      <c r="B2" s="1419"/>
      <c r="C2" s="1419"/>
      <c r="D2" s="1419"/>
      <c r="E2" s="1419"/>
      <c r="F2" s="1419"/>
      <c r="G2" s="1419"/>
      <c r="H2" s="1419"/>
      <c r="I2" s="1419"/>
      <c r="J2" s="1419"/>
      <c r="K2" s="1419"/>
      <c r="L2" s="1419"/>
      <c r="M2" s="1419"/>
      <c r="N2" s="1419"/>
      <c r="O2" s="1419"/>
      <c r="P2" s="1420"/>
      <c r="Q2"/>
      <c r="R2"/>
    </row>
    <row r="3" spans="1:21" s="315" customFormat="1" ht="16.2" thickBot="1">
      <c r="A3" s="1426" t="s">
        <v>1295</v>
      </c>
      <c r="B3" s="1427"/>
      <c r="C3" s="1427"/>
      <c r="D3" s="1427"/>
      <c r="E3" s="1427"/>
      <c r="F3" s="1427"/>
      <c r="G3" s="1427"/>
      <c r="H3" s="1427"/>
      <c r="I3" s="1427"/>
      <c r="J3" s="1427"/>
      <c r="K3" s="1427"/>
      <c r="L3" s="1427"/>
      <c r="M3" s="1427"/>
      <c r="N3" s="1427"/>
      <c r="O3" s="1427"/>
      <c r="P3" s="1428"/>
      <c r="Q3"/>
      <c r="R3"/>
    </row>
    <row r="4" spans="1:21" s="315" customFormat="1" ht="16.2" thickBot="1">
      <c r="A4" s="1424" t="s">
        <v>1294</v>
      </c>
      <c r="B4" s="1425"/>
      <c r="C4" s="1425"/>
      <c r="D4" s="1425"/>
      <c r="E4" s="322" t="str">
        <f>+'[8]Datos Generales'!C6</f>
        <v>2023-II</v>
      </c>
      <c r="F4" s="322"/>
      <c r="G4" s="322"/>
      <c r="H4" s="322"/>
      <c r="I4" s="322"/>
      <c r="J4" s="322"/>
      <c r="K4" s="322"/>
      <c r="L4" s="323"/>
      <c r="M4" s="323"/>
      <c r="N4" s="323"/>
      <c r="O4" s="323"/>
      <c r="P4" s="324"/>
      <c r="Q4"/>
      <c r="R4"/>
    </row>
    <row r="5" spans="1:21" ht="16.5" customHeight="1" thickBot="1">
      <c r="A5" s="1426" t="s">
        <v>199</v>
      </c>
      <c r="B5" s="1427"/>
      <c r="C5" s="1427"/>
      <c r="D5" s="1427"/>
      <c r="E5" s="1427"/>
      <c r="F5" s="1427"/>
      <c r="G5" s="1427"/>
      <c r="H5" s="1427"/>
      <c r="I5" s="1427"/>
      <c r="J5" s="1427"/>
      <c r="K5" s="1427"/>
      <c r="L5" s="1427"/>
      <c r="M5" s="1427"/>
      <c r="N5" s="1427"/>
      <c r="O5" s="1427"/>
      <c r="P5" s="1428"/>
    </row>
    <row r="6" spans="1:21">
      <c r="B6" s="1" t="s">
        <v>1</v>
      </c>
      <c r="C6" s="64"/>
      <c r="D6" s="5"/>
      <c r="E6" s="62"/>
      <c r="F6" s="5" t="s">
        <v>127</v>
      </c>
      <c r="G6" s="5"/>
      <c r="H6" s="5"/>
      <c r="I6" s="5"/>
      <c r="J6" s="5"/>
      <c r="K6" s="5"/>
    </row>
    <row r="7" spans="1:21" ht="15" thickBot="1">
      <c r="B7" s="63"/>
      <c r="C7" s="65"/>
      <c r="D7" s="5"/>
      <c r="E7" s="14"/>
      <c r="F7" s="5" t="s">
        <v>128</v>
      </c>
      <c r="G7" s="5"/>
      <c r="H7" s="5"/>
      <c r="I7" s="5"/>
      <c r="J7" s="5"/>
      <c r="K7" s="5"/>
    </row>
    <row r="8" spans="1:21" ht="15" thickBot="1">
      <c r="B8" s="144" t="s">
        <v>1180</v>
      </c>
      <c r="C8" s="572">
        <v>2023</v>
      </c>
      <c r="D8" s="171">
        <v>0.5</v>
      </c>
      <c r="E8" s="168"/>
      <c r="F8" s="5" t="s">
        <v>129</v>
      </c>
      <c r="G8" s="5"/>
      <c r="H8" s="5"/>
      <c r="I8" s="5"/>
      <c r="J8" s="5"/>
      <c r="K8" s="5"/>
    </row>
    <row r="9" spans="1:21">
      <c r="B9" s="300" t="s">
        <v>1181</v>
      </c>
      <c r="C9" s="67"/>
      <c r="D9" s="5"/>
      <c r="E9" s="5"/>
      <c r="F9" s="5"/>
      <c r="G9" s="5"/>
      <c r="H9" s="5"/>
      <c r="I9" s="5"/>
      <c r="J9" s="5"/>
      <c r="K9" s="5"/>
    </row>
    <row r="10" spans="1:21">
      <c r="B10" s="1429" t="s">
        <v>1236</v>
      </c>
      <c r="C10" s="1429"/>
      <c r="D10" s="1429"/>
      <c r="E10" s="303" t="s">
        <v>1233</v>
      </c>
      <c r="F10" s="1436"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437"/>
      <c r="H10" s="1437"/>
      <c r="I10" s="1437"/>
      <c r="J10" s="1437"/>
      <c r="K10" s="1437"/>
      <c r="L10" s="1437"/>
      <c r="M10" s="1437"/>
      <c r="N10" s="1437"/>
      <c r="O10" s="1437"/>
      <c r="P10" s="1437"/>
      <c r="Q10" s="1437"/>
      <c r="R10" s="1437"/>
      <c r="S10" s="1437"/>
      <c r="T10" s="5"/>
      <c r="U10" s="5"/>
    </row>
    <row r="11" spans="1:21" ht="14.4" customHeight="1">
      <c r="B11" s="302"/>
      <c r="C11" s="67"/>
      <c r="D11" s="144" t="str">
        <f>IF(E10="SI APLICA","¿El indicador no se reporta por limitaciones de información disponible? ","")</f>
        <v xml:space="preserve">¿El indicador no se reporta por limitaciones de información disponible? </v>
      </c>
      <c r="E11" s="304" t="s">
        <v>1235</v>
      </c>
      <c r="F11" s="1430"/>
      <c r="G11" s="1431"/>
      <c r="H11" s="1431"/>
      <c r="I11" s="1431"/>
      <c r="J11" s="1431"/>
      <c r="K11" s="1431"/>
      <c r="L11" s="1431"/>
      <c r="M11" s="1431"/>
      <c r="N11" s="1431"/>
      <c r="O11" s="1431"/>
      <c r="P11" s="1431"/>
      <c r="Q11" s="1431"/>
      <c r="R11" s="1431"/>
      <c r="S11" s="1431"/>
    </row>
    <row r="12" spans="1:21" ht="30" customHeight="1">
      <c r="B12" s="300"/>
      <c r="C12" s="67"/>
      <c r="D12" s="144" t="str">
        <f>IF(E11="SI SE REPORTA","¿Qué programas o proyectos del Plan de Acción están asociados al indicador? ","")</f>
        <v xml:space="preserve">¿Qué programas o proyectos del Plan de Acción están asociados al indicador? </v>
      </c>
      <c r="E12" s="1432" t="s">
        <v>1829</v>
      </c>
      <c r="F12" s="1432"/>
      <c r="G12" s="1432"/>
      <c r="H12" s="1432"/>
      <c r="I12" s="1432"/>
      <c r="J12" s="1432"/>
      <c r="K12" s="1432"/>
      <c r="L12" s="1432"/>
      <c r="M12" s="1432"/>
      <c r="N12" s="1432"/>
      <c r="O12" s="1432"/>
      <c r="P12" s="1432"/>
      <c r="Q12" s="1432"/>
      <c r="R12" s="1432"/>
    </row>
    <row r="13" spans="1:21" ht="30.75" customHeight="1">
      <c r="B13" s="300"/>
      <c r="C13" s="67"/>
      <c r="D13" s="144" t="s">
        <v>1238</v>
      </c>
      <c r="E13" s="1433"/>
      <c r="F13" s="1434"/>
      <c r="G13" s="1434"/>
      <c r="H13" s="1434"/>
      <c r="I13" s="1434"/>
      <c r="J13" s="1434"/>
      <c r="K13" s="1434"/>
      <c r="L13" s="1434"/>
      <c r="M13" s="1434"/>
      <c r="N13" s="1434"/>
      <c r="O13" s="1434"/>
      <c r="P13" s="1434"/>
      <c r="Q13" s="1434"/>
      <c r="R13" s="1435"/>
    </row>
    <row r="14" spans="1:21" ht="6.9" customHeight="1" thickBot="1">
      <c r="B14" s="300"/>
      <c r="C14" s="67"/>
      <c r="D14" s="5"/>
      <c r="E14" s="5"/>
      <c r="F14" s="5"/>
      <c r="G14" s="5"/>
      <c r="H14" s="5"/>
      <c r="I14" s="5"/>
      <c r="J14" s="5"/>
      <c r="K14" s="5"/>
    </row>
    <row r="15" spans="1:21" ht="15" thickBot="1">
      <c r="B15" s="1459" t="s">
        <v>2</v>
      </c>
      <c r="C15" s="68"/>
      <c r="D15" s="1450" t="s">
        <v>3</v>
      </c>
      <c r="E15" s="1451"/>
      <c r="F15" s="1451"/>
      <c r="G15" s="1451"/>
      <c r="H15" s="1451"/>
      <c r="I15" s="1451"/>
      <c r="J15" s="1452"/>
      <c r="K15" s="5"/>
    </row>
    <row r="16" spans="1:21" ht="36.6" thickBot="1">
      <c r="B16" s="1460"/>
      <c r="C16" s="73"/>
      <c r="D16" s="34" t="s">
        <v>2036</v>
      </c>
      <c r="E16" s="441">
        <v>188</v>
      </c>
      <c r="F16" s="5"/>
      <c r="G16" s="5"/>
      <c r="H16" s="5"/>
      <c r="I16" s="5"/>
      <c r="J16" s="17"/>
      <c r="K16" s="5"/>
    </row>
    <row r="17" spans="2:11" ht="48.6" thickBot="1">
      <c r="B17" s="1460"/>
      <c r="C17" s="73"/>
      <c r="D17" s="32" t="s">
        <v>213</v>
      </c>
      <c r="E17" s="441">
        <v>127</v>
      </c>
      <c r="F17" s="5"/>
      <c r="G17" s="5"/>
      <c r="H17" s="5"/>
      <c r="I17" s="5"/>
      <c r="J17" s="17"/>
      <c r="K17" s="5"/>
    </row>
    <row r="18" spans="2:11" ht="15" thickBot="1">
      <c r="B18" s="1460"/>
      <c r="C18" s="71"/>
      <c r="D18" s="1472"/>
      <c r="E18" s="1473"/>
      <c r="F18" s="1473"/>
      <c r="G18" s="1473"/>
      <c r="H18" s="1473"/>
      <c r="I18" s="1473"/>
      <c r="J18" s="1474"/>
      <c r="K18" s="5"/>
    </row>
    <row r="19" spans="2:11" ht="28.5" customHeight="1" thickBot="1">
      <c r="B19" s="1460"/>
      <c r="C19" s="77" t="s">
        <v>18</v>
      </c>
      <c r="D19" s="442" t="s">
        <v>149</v>
      </c>
      <c r="E19" s="537" t="s">
        <v>19</v>
      </c>
      <c r="F19" s="537" t="s">
        <v>20</v>
      </c>
      <c r="G19" s="537" t="s">
        <v>21</v>
      </c>
      <c r="H19" s="537" t="s">
        <v>22</v>
      </c>
      <c r="I19" s="1552" t="s">
        <v>54</v>
      </c>
      <c r="J19" s="1553"/>
      <c r="K19" s="5"/>
    </row>
    <row r="20" spans="2:11" ht="53.4" customHeight="1" thickBot="1">
      <c r="B20" s="1460"/>
      <c r="C20" s="157" t="s">
        <v>151</v>
      </c>
      <c r="D20" s="486" t="s">
        <v>214</v>
      </c>
      <c r="E20" s="441">
        <v>25</v>
      </c>
      <c r="F20" s="441">
        <v>51</v>
      </c>
      <c r="G20" s="441">
        <v>56</v>
      </c>
      <c r="H20" s="441">
        <v>127</v>
      </c>
      <c r="I20" s="1554"/>
      <c r="J20" s="1555"/>
      <c r="K20" s="5"/>
    </row>
    <row r="21" spans="2:11" ht="61.2" customHeight="1" thickBot="1">
      <c r="B21" s="1460"/>
      <c r="C21" s="157" t="s">
        <v>153</v>
      </c>
      <c r="D21" s="486" t="s">
        <v>215</v>
      </c>
      <c r="E21" s="441">
        <v>25</v>
      </c>
      <c r="F21" s="441">
        <v>51</v>
      </c>
      <c r="G21" s="441">
        <v>49</v>
      </c>
      <c r="H21" s="441">
        <v>64</v>
      </c>
      <c r="I21" s="1556"/>
      <c r="J21" s="1557"/>
      <c r="K21" s="5"/>
    </row>
    <row r="22" spans="2:11" ht="47.25" customHeight="1" thickBot="1">
      <c r="B22" s="1461"/>
      <c r="C22" s="157" t="s">
        <v>155</v>
      </c>
      <c r="D22" s="486" t="s">
        <v>216</v>
      </c>
      <c r="E22" s="490">
        <f>IFERROR(E21/E20,"N.A.")</f>
        <v>1</v>
      </c>
      <c r="F22" s="490">
        <f>IFERROR(F21/F20,"N.A.")</f>
        <v>1</v>
      </c>
      <c r="G22" s="490">
        <f>IFERROR(G21/G20,"N.A.")</f>
        <v>0.875</v>
      </c>
      <c r="H22" s="490">
        <f>IFERROR(H21/H20,"N.A.")</f>
        <v>0.50393700787401574</v>
      </c>
      <c r="I22" s="1558"/>
      <c r="J22" s="1559"/>
      <c r="K22" s="5"/>
    </row>
    <row r="23" spans="2:11" ht="24" customHeight="1" thickBot="1">
      <c r="B23" s="37" t="s">
        <v>33</v>
      </c>
      <c r="C23" s="72"/>
      <c r="D23" s="1462" t="s">
        <v>217</v>
      </c>
      <c r="E23" s="1463"/>
      <c r="F23" s="1463"/>
      <c r="G23" s="1463"/>
      <c r="H23" s="1463"/>
      <c r="I23" s="1463"/>
      <c r="J23" s="1464"/>
      <c r="K23" s="5"/>
    </row>
    <row r="24" spans="2:11" ht="24.6" thickBot="1">
      <c r="B24" s="37" t="s">
        <v>35</v>
      </c>
      <c r="C24" s="72"/>
      <c r="D24" s="1462" t="s">
        <v>158</v>
      </c>
      <c r="E24" s="1463"/>
      <c r="F24" s="1463"/>
      <c r="G24" s="1463"/>
      <c r="H24" s="1463"/>
      <c r="I24" s="1463"/>
      <c r="J24" s="1464"/>
      <c r="K24" s="5"/>
    </row>
    <row r="25" spans="2:11" ht="15" thickBot="1">
      <c r="B25" s="29"/>
      <c r="C25" s="67"/>
      <c r="D25" s="5"/>
      <c r="E25" s="5"/>
      <c r="F25" s="5"/>
      <c r="G25" s="5"/>
      <c r="H25" s="5"/>
      <c r="I25" s="5"/>
      <c r="J25" s="195"/>
      <c r="K25" s="5"/>
    </row>
    <row r="26" spans="2:11" ht="15" customHeight="1" thickBot="1">
      <c r="B26" s="97" t="s">
        <v>37</v>
      </c>
      <c r="C26" s="101"/>
      <c r="D26" s="101"/>
      <c r="E26" s="101"/>
      <c r="F26" s="101"/>
      <c r="G26" s="101"/>
      <c r="H26" s="101"/>
      <c r="I26" s="101"/>
      <c r="J26" s="102"/>
      <c r="K26" s="5"/>
    </row>
    <row r="27" spans="2:11" ht="15" thickBot="1">
      <c r="B27" s="1459">
        <v>1</v>
      </c>
      <c r="C27" s="68"/>
      <c r="D27" s="196" t="s">
        <v>38</v>
      </c>
      <c r="E27" s="1547" t="s">
        <v>1814</v>
      </c>
      <c r="F27" s="1548"/>
      <c r="I27" s="49"/>
      <c r="J27" s="197"/>
      <c r="K27" s="5"/>
    </row>
    <row r="28" spans="2:11" ht="15" thickBot="1">
      <c r="B28" s="1460"/>
      <c r="C28" s="71"/>
      <c r="D28" s="198" t="s">
        <v>39</v>
      </c>
      <c r="E28" s="1551" t="s">
        <v>1830</v>
      </c>
      <c r="F28" s="1550"/>
      <c r="I28" s="49"/>
      <c r="J28" s="17"/>
      <c r="K28" s="5"/>
    </row>
    <row r="29" spans="2:11" ht="15" thickBot="1">
      <c r="B29" s="1460"/>
      <c r="C29" s="71"/>
      <c r="D29" s="198" t="s">
        <v>40</v>
      </c>
      <c r="E29" s="1547" t="s">
        <v>2037</v>
      </c>
      <c r="F29" s="1548"/>
      <c r="I29" s="49"/>
      <c r="J29" s="17"/>
      <c r="K29" s="5"/>
    </row>
    <row r="30" spans="2:11" ht="18.75" customHeight="1" thickBot="1">
      <c r="B30" s="1460"/>
      <c r="C30" s="71"/>
      <c r="D30" s="198" t="s">
        <v>41</v>
      </c>
      <c r="E30" s="1547" t="s">
        <v>2050</v>
      </c>
      <c r="F30" s="1548"/>
      <c r="I30" s="49"/>
      <c r="J30" s="17"/>
      <c r="K30" s="5"/>
    </row>
    <row r="31" spans="2:11" ht="36" customHeight="1" thickBot="1">
      <c r="B31" s="1460"/>
      <c r="C31" s="71"/>
      <c r="D31" s="198" t="s">
        <v>42</v>
      </c>
      <c r="E31" s="1549" t="s">
        <v>2038</v>
      </c>
      <c r="F31" s="1550"/>
      <c r="I31" s="49"/>
      <c r="J31" s="17"/>
      <c r="K31" s="5"/>
    </row>
    <row r="32" spans="2:11" ht="15" thickBot="1">
      <c r="B32" s="1460"/>
      <c r="C32" s="71"/>
      <c r="D32" s="198" t="s">
        <v>43</v>
      </c>
      <c r="E32" s="1547" t="s">
        <v>1826</v>
      </c>
      <c r="F32" s="1548"/>
      <c r="I32" s="49"/>
      <c r="J32" s="17"/>
      <c r="K32" s="5"/>
    </row>
    <row r="33" spans="2:11" ht="15" thickBot="1">
      <c r="B33" s="1461"/>
      <c r="C33" s="72"/>
      <c r="D33" s="198" t="s">
        <v>44</v>
      </c>
      <c r="E33" s="1547" t="s">
        <v>1817</v>
      </c>
      <c r="F33" s="1548"/>
      <c r="I33" s="199"/>
      <c r="J33" s="19"/>
      <c r="K33" s="5"/>
    </row>
    <row r="34" spans="2:11" ht="15" customHeight="1" thickBot="1">
      <c r="B34" s="97" t="s">
        <v>45</v>
      </c>
      <c r="C34" s="98"/>
      <c r="D34" s="98"/>
      <c r="E34" s="98"/>
      <c r="F34" s="98"/>
      <c r="G34" s="98"/>
      <c r="H34" s="98"/>
      <c r="I34" s="101"/>
      <c r="J34" s="102"/>
      <c r="K34" s="5"/>
    </row>
    <row r="35" spans="2:11" ht="14.4" customHeight="1" thickBot="1">
      <c r="B35" s="1459">
        <v>1</v>
      </c>
      <c r="C35" s="68"/>
      <c r="D35" s="200" t="s">
        <v>38</v>
      </c>
      <c r="E35" s="177" t="s">
        <v>46</v>
      </c>
      <c r="F35" s="178"/>
      <c r="I35" s="49"/>
      <c r="J35" s="197"/>
      <c r="K35" s="5"/>
    </row>
    <row r="36" spans="2:11" ht="15" thickBot="1">
      <c r="B36" s="1460"/>
      <c r="C36" s="71"/>
      <c r="D36" s="104" t="s">
        <v>39</v>
      </c>
      <c r="E36" s="177" t="s">
        <v>159</v>
      </c>
      <c r="F36" s="177"/>
      <c r="I36" s="49"/>
      <c r="J36" s="17"/>
      <c r="K36" s="5"/>
    </row>
    <row r="37" spans="2:11" ht="15" thickBot="1">
      <c r="B37" s="1460"/>
      <c r="C37" s="71"/>
      <c r="D37" s="104" t="s">
        <v>40</v>
      </c>
      <c r="E37" s="1545"/>
      <c r="F37" s="1546"/>
      <c r="I37" s="49"/>
      <c r="J37" s="17"/>
      <c r="K37" s="5"/>
    </row>
    <row r="38" spans="2:11" ht="15" thickBot="1">
      <c r="B38" s="1460"/>
      <c r="C38" s="71"/>
      <c r="D38" s="104" t="s">
        <v>41</v>
      </c>
      <c r="E38" s="1545"/>
      <c r="F38" s="1546"/>
      <c r="I38" s="49"/>
      <c r="J38" s="17"/>
      <c r="K38" s="5"/>
    </row>
    <row r="39" spans="2:11" ht="15" thickBot="1">
      <c r="B39" s="1460"/>
      <c r="C39" s="71"/>
      <c r="D39" s="104" t="s">
        <v>42</v>
      </c>
      <c r="E39" s="1545"/>
      <c r="F39" s="1546"/>
      <c r="I39" s="49"/>
      <c r="J39" s="17"/>
      <c r="K39" s="5"/>
    </row>
    <row r="40" spans="2:11" ht="15" thickBot="1">
      <c r="B40" s="1460"/>
      <c r="C40" s="71"/>
      <c r="D40" s="104" t="s">
        <v>43</v>
      </c>
      <c r="E40" s="1545"/>
      <c r="F40" s="1546"/>
      <c r="I40" s="49"/>
      <c r="J40" s="17"/>
      <c r="K40" s="5"/>
    </row>
    <row r="41" spans="2:11" ht="15" thickBot="1">
      <c r="B41" s="1461"/>
      <c r="C41" s="72"/>
      <c r="D41" s="104" t="s">
        <v>44</v>
      </c>
      <c r="E41" s="1545"/>
      <c r="F41" s="1546"/>
      <c r="I41" s="199"/>
      <c r="J41" s="19"/>
      <c r="K41" s="5"/>
    </row>
    <row r="42" spans="2:11" ht="15" thickBot="1">
      <c r="B42" s="201"/>
      <c r="C42" s="202"/>
      <c r="D42" s="203"/>
      <c r="E42" s="203"/>
      <c r="F42" s="203"/>
      <c r="G42" s="101"/>
      <c r="H42" s="101"/>
      <c r="I42" s="101"/>
      <c r="J42" s="102"/>
      <c r="K42" s="5"/>
    </row>
    <row r="43" spans="2:11" ht="15" thickBot="1">
      <c r="B43" s="1469" t="s">
        <v>48</v>
      </c>
      <c r="C43" s="1470"/>
      <c r="D43" s="1470"/>
      <c r="E43" s="1470"/>
      <c r="F43" s="1470"/>
      <c r="G43" s="1470"/>
      <c r="H43" s="1470"/>
      <c r="I43" s="1471"/>
      <c r="J43" s="102"/>
      <c r="K43" s="5"/>
    </row>
    <row r="44" spans="2:11" ht="24" customHeight="1" thickBot="1">
      <c r="B44" s="1462" t="s">
        <v>49</v>
      </c>
      <c r="C44" s="1463"/>
      <c r="D44" s="1464"/>
      <c r="E44" s="32" t="s">
        <v>50</v>
      </c>
      <c r="F44" s="1462" t="s">
        <v>51</v>
      </c>
      <c r="G44" s="1464"/>
      <c r="H44" s="1462" t="s">
        <v>52</v>
      </c>
      <c r="I44" s="1464"/>
      <c r="J44" s="92"/>
      <c r="K44" s="5"/>
    </row>
    <row r="45" spans="2:11" ht="108" customHeight="1" thickBot="1">
      <c r="B45" s="1540">
        <v>42401</v>
      </c>
      <c r="C45" s="1541"/>
      <c r="D45" s="1542"/>
      <c r="E45" s="32">
        <v>0.01</v>
      </c>
      <c r="F45" s="1543" t="s">
        <v>218</v>
      </c>
      <c r="G45" s="1544"/>
      <c r="H45" s="1462"/>
      <c r="I45" s="1464"/>
      <c r="J45" s="94"/>
      <c r="K45" s="5"/>
    </row>
    <row r="46" spans="2:11">
      <c r="B46" s="204"/>
      <c r="C46" s="205"/>
      <c r="D46" s="204"/>
      <c r="E46" s="204"/>
      <c r="F46" s="204"/>
      <c r="G46" s="204"/>
      <c r="H46" s="204"/>
      <c r="I46" s="204"/>
      <c r="J46" s="5"/>
      <c r="K46" s="5"/>
    </row>
    <row r="47" spans="2:11" ht="15" thickBot="1">
      <c r="B47" s="1"/>
      <c r="C47" s="64"/>
      <c r="D47" s="5"/>
      <c r="E47" s="5"/>
      <c r="F47" s="5"/>
      <c r="G47" s="5"/>
      <c r="H47" s="5"/>
      <c r="I47" s="5"/>
      <c r="J47" s="5"/>
      <c r="K47" s="5"/>
    </row>
    <row r="48" spans="2:11" ht="15" thickBot="1">
      <c r="B48" s="4" t="s">
        <v>54</v>
      </c>
      <c r="C48" s="75"/>
      <c r="D48" s="5"/>
      <c r="E48" s="5"/>
      <c r="F48" s="5"/>
      <c r="G48" s="5"/>
      <c r="H48" s="5"/>
      <c r="I48" s="5"/>
      <c r="J48" s="5"/>
      <c r="K48" s="5"/>
    </row>
    <row r="49" spans="2:11">
      <c r="B49" s="1538"/>
      <c r="C49" s="1539"/>
      <c r="D49" s="1539"/>
      <c r="E49" s="1539"/>
      <c r="F49" s="1539"/>
      <c r="G49" s="1539"/>
      <c r="H49" s="1539"/>
      <c r="I49" s="1539"/>
      <c r="J49" s="1539"/>
      <c r="K49" s="5"/>
    </row>
    <row r="50" spans="2:11">
      <c r="B50" s="1538"/>
      <c r="C50" s="1539"/>
      <c r="D50" s="1539"/>
      <c r="E50" s="1539"/>
      <c r="F50" s="1539"/>
      <c r="G50" s="1539"/>
      <c r="H50" s="1539"/>
      <c r="I50" s="1539"/>
      <c r="J50" s="1539"/>
      <c r="K50" s="5"/>
    </row>
    <row r="51" spans="2:11">
      <c r="B51" s="1"/>
      <c r="C51" s="64"/>
      <c r="D51" s="5"/>
      <c r="E51" s="5"/>
      <c r="F51" s="5"/>
      <c r="G51" s="5"/>
      <c r="H51" s="5"/>
      <c r="I51" s="5"/>
      <c r="J51" s="5"/>
      <c r="K51" s="5"/>
    </row>
    <row r="52" spans="2:11" ht="15" thickBot="1">
      <c r="B52" s="5"/>
      <c r="D52" s="5"/>
      <c r="E52" s="5"/>
      <c r="F52" s="5"/>
      <c r="G52" s="5"/>
      <c r="H52" s="5"/>
      <c r="I52" s="5"/>
      <c r="J52" s="5"/>
      <c r="K52" s="5"/>
    </row>
    <row r="53" spans="2:11" ht="24.6" thickBot="1">
      <c r="B53" s="41" t="s">
        <v>55</v>
      </c>
      <c r="C53" s="76"/>
      <c r="D53" s="5"/>
      <c r="E53" s="5"/>
      <c r="F53" s="5"/>
      <c r="G53" s="5"/>
      <c r="H53" s="5"/>
      <c r="I53" s="5"/>
      <c r="J53" s="5"/>
      <c r="K53" s="5"/>
    </row>
    <row r="54" spans="2:11" ht="15" thickBot="1">
      <c r="B54" s="1"/>
      <c r="C54" s="64"/>
      <c r="D54" s="5"/>
      <c r="E54" s="5"/>
      <c r="F54" s="5"/>
      <c r="G54" s="5"/>
      <c r="H54" s="5"/>
      <c r="I54" s="5"/>
      <c r="J54" s="5"/>
      <c r="K54" s="5"/>
    </row>
    <row r="55" spans="2:11" ht="60.6" thickBot="1">
      <c r="B55" s="42" t="s">
        <v>56</v>
      </c>
      <c r="C55" s="77"/>
      <c r="D55" s="34" t="s">
        <v>200</v>
      </c>
      <c r="E55" s="5"/>
      <c r="F55" s="5"/>
      <c r="G55" s="5"/>
      <c r="H55" s="5"/>
      <c r="I55" s="5"/>
      <c r="J55" s="5"/>
      <c r="K55" s="5"/>
    </row>
    <row r="56" spans="2:11">
      <c r="B56" s="1459" t="s">
        <v>58</v>
      </c>
      <c r="C56" s="73"/>
      <c r="D56" s="43" t="s">
        <v>59</v>
      </c>
      <c r="E56" s="5"/>
      <c r="F56" s="5"/>
      <c r="G56" s="5"/>
      <c r="H56" s="5"/>
      <c r="I56" s="5"/>
      <c r="J56" s="5"/>
      <c r="K56" s="5"/>
    </row>
    <row r="57" spans="2:11" ht="60">
      <c r="B57" s="1460"/>
      <c r="C57" s="73"/>
      <c r="D57" s="36" t="s">
        <v>201</v>
      </c>
      <c r="E57" s="5"/>
      <c r="F57" s="5"/>
      <c r="G57" s="5"/>
      <c r="H57" s="5"/>
      <c r="I57" s="5"/>
      <c r="J57" s="5"/>
      <c r="K57" s="5"/>
    </row>
    <row r="58" spans="2:11">
      <c r="B58" s="1460"/>
      <c r="C58" s="73"/>
      <c r="D58" s="43" t="s">
        <v>133</v>
      </c>
      <c r="E58" s="5"/>
      <c r="F58" s="5"/>
      <c r="G58" s="5"/>
      <c r="H58" s="5"/>
      <c r="I58" s="5"/>
      <c r="J58" s="5"/>
      <c r="K58" s="5"/>
    </row>
    <row r="59" spans="2:11">
      <c r="B59" s="1460"/>
      <c r="C59" s="73"/>
      <c r="D59" s="36" t="s">
        <v>63</v>
      </c>
      <c r="E59" s="5"/>
      <c r="F59" s="5"/>
      <c r="G59" s="5"/>
      <c r="H59" s="5"/>
      <c r="I59" s="5"/>
      <c r="J59" s="5"/>
      <c r="K59" s="5"/>
    </row>
    <row r="60" spans="2:11">
      <c r="B60" s="1460"/>
      <c r="C60" s="73"/>
      <c r="D60" s="36" t="s">
        <v>164</v>
      </c>
      <c r="E60" s="5"/>
      <c r="F60" s="5"/>
      <c r="G60" s="5"/>
      <c r="H60" s="5"/>
      <c r="I60" s="5"/>
      <c r="J60" s="5"/>
      <c r="K60" s="5"/>
    </row>
    <row r="61" spans="2:11">
      <c r="B61" s="1460"/>
      <c r="C61" s="73"/>
      <c r="D61" s="36" t="s">
        <v>202</v>
      </c>
      <c r="E61" s="5"/>
      <c r="F61" s="5"/>
      <c r="G61" s="5"/>
      <c r="H61" s="5"/>
      <c r="I61" s="5"/>
      <c r="J61" s="5"/>
      <c r="K61" s="5"/>
    </row>
    <row r="62" spans="2:11">
      <c r="B62" s="1460"/>
      <c r="C62" s="73"/>
      <c r="D62" s="36" t="s">
        <v>203</v>
      </c>
      <c r="E62" s="5"/>
      <c r="F62" s="5"/>
      <c r="G62" s="5"/>
      <c r="H62" s="5"/>
      <c r="I62" s="5"/>
      <c r="J62" s="5"/>
      <c r="K62" s="5"/>
    </row>
    <row r="63" spans="2:11" ht="24">
      <c r="B63" s="1460"/>
      <c r="C63" s="73"/>
      <c r="D63" s="36" t="s">
        <v>204</v>
      </c>
      <c r="E63" s="5"/>
      <c r="F63" s="5"/>
      <c r="G63" s="5"/>
      <c r="H63" s="5"/>
      <c r="I63" s="5"/>
      <c r="J63" s="5"/>
      <c r="K63" s="5"/>
    </row>
    <row r="64" spans="2:11">
      <c r="B64" s="1460"/>
      <c r="C64" s="73"/>
      <c r="D64" s="43" t="s">
        <v>140</v>
      </c>
      <c r="E64" s="5"/>
      <c r="F64" s="5"/>
      <c r="G64" s="5"/>
      <c r="H64" s="5"/>
      <c r="I64" s="5"/>
      <c r="J64" s="5"/>
      <c r="K64" s="5"/>
    </row>
    <row r="65" spans="2:11" ht="15" thickBot="1">
      <c r="B65" s="1461"/>
      <c r="C65" s="2"/>
      <c r="D65" s="58"/>
      <c r="E65" s="5"/>
      <c r="F65" s="5"/>
      <c r="G65" s="5"/>
      <c r="H65" s="5"/>
      <c r="I65" s="5"/>
      <c r="J65" s="5"/>
      <c r="K65" s="5"/>
    </row>
    <row r="66" spans="2:11" ht="24.6" thickBot="1">
      <c r="B66" s="37" t="s">
        <v>71</v>
      </c>
      <c r="C66" s="2"/>
      <c r="D66" s="32"/>
      <c r="E66" s="5"/>
      <c r="F66" s="5"/>
      <c r="G66" s="5"/>
      <c r="H66" s="5"/>
      <c r="I66" s="5"/>
      <c r="J66" s="5"/>
      <c r="K66" s="5"/>
    </row>
    <row r="67" spans="2:11" ht="132">
      <c r="B67" s="1459" t="s">
        <v>72</v>
      </c>
      <c r="C67" s="73"/>
      <c r="D67" s="36" t="s">
        <v>205</v>
      </c>
      <c r="E67" s="5"/>
      <c r="F67" s="5"/>
      <c r="G67" s="5"/>
      <c r="H67" s="5"/>
      <c r="I67" s="5"/>
      <c r="J67" s="5"/>
      <c r="K67" s="5"/>
    </row>
    <row r="68" spans="2:11" ht="108">
      <c r="B68" s="1460"/>
      <c r="C68" s="73"/>
      <c r="D68" s="36" t="s">
        <v>206</v>
      </c>
      <c r="E68" s="5"/>
      <c r="F68" s="5"/>
      <c r="G68" s="5"/>
      <c r="H68" s="5"/>
      <c r="I68" s="5"/>
      <c r="J68" s="5"/>
      <c r="K68" s="5"/>
    </row>
    <row r="69" spans="2:11" ht="192">
      <c r="B69" s="1460"/>
      <c r="C69" s="73"/>
      <c r="D69" s="36" t="s">
        <v>207</v>
      </c>
      <c r="E69" s="5"/>
      <c r="F69" s="5"/>
      <c r="G69" s="5"/>
      <c r="H69" s="5"/>
      <c r="I69" s="5"/>
      <c r="J69" s="5"/>
      <c r="K69" s="5"/>
    </row>
    <row r="70" spans="2:11" ht="60">
      <c r="B70" s="1460"/>
      <c r="C70" s="73"/>
      <c r="D70" s="36" t="s">
        <v>208</v>
      </c>
      <c r="E70" s="5"/>
      <c r="F70" s="5"/>
      <c r="G70" s="5"/>
      <c r="H70" s="5"/>
      <c r="I70" s="5"/>
      <c r="J70" s="5"/>
      <c r="K70" s="5"/>
    </row>
    <row r="71" spans="2:11" ht="15" thickBot="1">
      <c r="B71" s="1461"/>
      <c r="C71" s="2"/>
      <c r="D71" s="32"/>
      <c r="E71" s="5"/>
      <c r="F71" s="5"/>
      <c r="G71" s="5"/>
      <c r="H71" s="5"/>
      <c r="I71" s="5"/>
      <c r="J71" s="5"/>
      <c r="K71" s="5"/>
    </row>
    <row r="72" spans="2:11">
      <c r="B72" s="1459" t="s">
        <v>89</v>
      </c>
      <c r="C72" s="73"/>
      <c r="D72" s="36"/>
      <c r="E72" s="5"/>
      <c r="F72" s="5"/>
      <c r="G72" s="5"/>
      <c r="H72" s="5"/>
      <c r="I72" s="5"/>
      <c r="J72" s="5"/>
      <c r="K72" s="5"/>
    </row>
    <row r="73" spans="2:11">
      <c r="B73" s="1460"/>
      <c r="C73" s="73"/>
      <c r="D73" s="13"/>
      <c r="E73" s="5"/>
      <c r="F73" s="5"/>
      <c r="G73" s="5"/>
      <c r="H73" s="5"/>
      <c r="I73" s="5"/>
      <c r="J73" s="5"/>
      <c r="K73" s="5"/>
    </row>
    <row r="74" spans="2:11">
      <c r="B74" s="1460"/>
      <c r="C74" s="73"/>
      <c r="D74" s="36" t="s">
        <v>90</v>
      </c>
      <c r="E74" s="5"/>
      <c r="F74" s="5"/>
      <c r="G74" s="5"/>
      <c r="H74" s="5"/>
      <c r="I74" s="5"/>
      <c r="J74" s="5"/>
      <c r="K74" s="5"/>
    </row>
    <row r="75" spans="2:11" ht="38.4">
      <c r="B75" s="1460"/>
      <c r="C75" s="73"/>
      <c r="D75" s="36" t="s">
        <v>209</v>
      </c>
      <c r="E75" s="5"/>
      <c r="F75" s="5"/>
      <c r="G75" s="5"/>
      <c r="H75" s="5"/>
      <c r="I75" s="5"/>
      <c r="J75" s="5"/>
      <c r="K75" s="5"/>
    </row>
    <row r="76" spans="2:11" ht="38.4">
      <c r="B76" s="1460"/>
      <c r="C76" s="73"/>
      <c r="D76" s="36" t="s">
        <v>210</v>
      </c>
      <c r="E76" s="5"/>
      <c r="F76" s="5"/>
      <c r="G76" s="5"/>
      <c r="H76" s="5"/>
      <c r="I76" s="5"/>
      <c r="J76" s="5"/>
      <c r="K76" s="5"/>
    </row>
    <row r="77" spans="2:11" ht="38.4">
      <c r="B77" s="1460"/>
      <c r="C77" s="73"/>
      <c r="D77" s="36" t="s">
        <v>211</v>
      </c>
      <c r="E77" s="5"/>
      <c r="F77" s="5"/>
      <c r="G77" s="5"/>
      <c r="H77" s="5"/>
      <c r="I77" s="5"/>
      <c r="J77" s="5"/>
      <c r="K77" s="5"/>
    </row>
    <row r="78" spans="2:11" ht="48.6" thickBot="1">
      <c r="B78" s="1461"/>
      <c r="C78" s="2"/>
      <c r="D78" s="32" t="s">
        <v>212</v>
      </c>
      <c r="E78" s="5"/>
      <c r="F78" s="5"/>
      <c r="G78" s="5"/>
      <c r="H78" s="5"/>
      <c r="I78" s="5"/>
      <c r="J78" s="5"/>
      <c r="K78" s="5"/>
    </row>
  </sheetData>
  <sheetProtection insertColumns="0" insertRows="0"/>
  <mergeCells count="44">
    <mergeCell ref="I19:J19"/>
    <mergeCell ref="I20:J20"/>
    <mergeCell ref="I21:J21"/>
    <mergeCell ref="I22:J22"/>
    <mergeCell ref="B10:D10"/>
    <mergeCell ref="F10:S10"/>
    <mergeCell ref="F11:S11"/>
    <mergeCell ref="E12:R12"/>
    <mergeCell ref="E13:R13"/>
    <mergeCell ref="B56:B65"/>
    <mergeCell ref="B67:B71"/>
    <mergeCell ref="B72:B78"/>
    <mergeCell ref="B15:B22"/>
    <mergeCell ref="D15:J15"/>
    <mergeCell ref="D18:J18"/>
    <mergeCell ref="E30:F30"/>
    <mergeCell ref="E31:F31"/>
    <mergeCell ref="E32:F32"/>
    <mergeCell ref="D23:J23"/>
    <mergeCell ref="D24:J24"/>
    <mergeCell ref="E27:F27"/>
    <mergeCell ref="E28:F28"/>
    <mergeCell ref="E29:F29"/>
    <mergeCell ref="E38:F38"/>
    <mergeCell ref="E39:F39"/>
    <mergeCell ref="E40:F40"/>
    <mergeCell ref="E33:F33"/>
    <mergeCell ref="B35:B41"/>
    <mergeCell ref="E37:F37"/>
    <mergeCell ref="B27:B33"/>
    <mergeCell ref="B49:J50"/>
    <mergeCell ref="B45:D45"/>
    <mergeCell ref="F45:G45"/>
    <mergeCell ref="H45:I45"/>
    <mergeCell ref="E41:F41"/>
    <mergeCell ref="B43:I43"/>
    <mergeCell ref="B44:D44"/>
    <mergeCell ref="F44:G44"/>
    <mergeCell ref="H44:I44"/>
    <mergeCell ref="A1:P1"/>
    <mergeCell ref="A2:P2"/>
    <mergeCell ref="A3:P3"/>
    <mergeCell ref="A4:D4"/>
    <mergeCell ref="A5:P5"/>
  </mergeCells>
  <conditionalFormatting sqref="E12:R12">
    <cfRule type="expression" dxfId="107" priority="1">
      <formula>E11="SI SE REPORTA"</formula>
    </cfRule>
  </conditionalFormatting>
  <conditionalFormatting sqref="F10">
    <cfRule type="notContainsBlanks" dxfId="106" priority="4">
      <formula>LEN(TRIM(F10))&gt;0</formula>
    </cfRule>
  </conditionalFormatting>
  <conditionalFormatting sqref="F11:S11">
    <cfRule type="expression" dxfId="105" priority="2">
      <formula>E11="NO SE REPORTA"</formula>
    </cfRule>
    <cfRule type="expression" dxfId="104" priority="3">
      <formula>E10="NO APLICA"</formula>
    </cfRule>
  </conditionalFormatting>
  <dataValidations count="3">
    <dataValidation type="whole" operator="greaterThanOrEqual" allowBlank="1" showErrorMessage="1" errorTitle="ERROR" error="Escriba un número igual o mayor que 0" promptTitle="ERROR" prompt="Escriba un número igual o mayor que 0" sqref="E16:E17 E20:H21" xr:uid="{5157CF8D-8DA3-4612-B311-26D97B32ADA9}">
      <formula1>0</formula1>
    </dataValidation>
    <dataValidation type="list" allowBlank="1" showInputMessage="1" showErrorMessage="1" sqref="E11" xr:uid="{29A06B47-2C20-455B-9EFA-C0050F862D7C}">
      <formula1>REPORTE</formula1>
    </dataValidation>
    <dataValidation type="list" allowBlank="1" showInputMessage="1" showErrorMessage="1" sqref="E10" xr:uid="{3250C70D-22A1-437F-9BC8-8121780A47B7}">
      <formula1>SI</formula1>
    </dataValidation>
  </dataValidations>
  <hyperlinks>
    <hyperlink ref="B9" location="'ANEXO 3'!A1" display="VOLVER AL INDICE" xr:uid="{7735D72D-322A-4B0E-BC73-30F92CA87919}"/>
    <hyperlink ref="E31" r:id="rId1" display="jrestrepo@crautonoma.gov.co" xr:uid="{1EE92C5E-E23D-4D44-AB56-8293382B89BD}"/>
  </hyperlinks>
  <pageMargins left="0.25" right="0.25" top="0.75" bottom="0.75" header="0.3" footer="0.3"/>
  <pageSetup paperSize="178" orientation="landscape" horizontalDpi="1200" verticalDpi="1200"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6">
    <tabColor theme="0"/>
  </sheetPr>
  <dimension ref="A1:U110"/>
  <sheetViews>
    <sheetView showGridLines="0" topLeftCell="A7" zoomScale="80" zoomScaleNormal="80" workbookViewId="0">
      <selection activeCell="J65" sqref="J65"/>
    </sheetView>
  </sheetViews>
  <sheetFormatPr baseColWidth="10" defaultRowHeight="14.4"/>
  <cols>
    <col min="1" max="1" width="1.88671875" customWidth="1"/>
    <col min="2" max="2" width="12.88671875" customWidth="1"/>
    <col min="3" max="3" width="7.5546875" style="66" customWidth="1"/>
    <col min="4" max="4" width="40.5546875" customWidth="1"/>
    <col min="5" max="5" width="24.6640625" customWidth="1"/>
    <col min="6" max="6" width="18.44140625" customWidth="1"/>
    <col min="7" max="7" width="15" customWidth="1"/>
    <col min="8" max="8" width="15.44140625" customWidth="1"/>
    <col min="9" max="9" width="17.5546875" customWidth="1"/>
    <col min="10" max="10" width="90" customWidth="1"/>
  </cols>
  <sheetData>
    <row r="1" spans="1:21" s="314" customFormat="1" ht="100.5" customHeight="1" thickBot="1">
      <c r="A1" s="1421"/>
      <c r="B1" s="1422"/>
      <c r="C1" s="1422"/>
      <c r="D1" s="1422"/>
      <c r="E1" s="1422"/>
      <c r="F1" s="1422"/>
      <c r="G1" s="1422"/>
      <c r="H1" s="1422"/>
      <c r="I1" s="1422"/>
      <c r="J1" s="1422"/>
      <c r="K1" s="1422"/>
      <c r="L1" s="1422"/>
      <c r="M1" s="1422"/>
      <c r="N1" s="1422"/>
      <c r="O1" s="1422"/>
      <c r="P1" s="1423"/>
      <c r="Q1"/>
      <c r="R1"/>
    </row>
    <row r="2" spans="1:21" s="315" customFormat="1" ht="16.2" thickBot="1">
      <c r="A2" s="1418" t="str">
        <f>+'Datos Generales'!C5</f>
        <v>Corporación Autónoma Regional del Atlántico – CRA</v>
      </c>
      <c r="B2" s="1419"/>
      <c r="C2" s="1419"/>
      <c r="D2" s="1419"/>
      <c r="E2" s="1419"/>
      <c r="F2" s="1419"/>
      <c r="G2" s="1419"/>
      <c r="H2" s="1419"/>
      <c r="I2" s="1419"/>
      <c r="J2" s="1419"/>
      <c r="K2" s="1419"/>
      <c r="L2" s="1419"/>
      <c r="M2" s="1419"/>
      <c r="N2" s="1419"/>
      <c r="O2" s="1419"/>
      <c r="P2" s="1420"/>
      <c r="Q2"/>
      <c r="R2"/>
    </row>
    <row r="3" spans="1:21" s="315" customFormat="1" ht="16.2" thickBot="1">
      <c r="A3" s="1426" t="s">
        <v>1295</v>
      </c>
      <c r="B3" s="1427"/>
      <c r="C3" s="1427"/>
      <c r="D3" s="1427"/>
      <c r="E3" s="1427"/>
      <c r="F3" s="1427"/>
      <c r="G3" s="1427"/>
      <c r="H3" s="1427"/>
      <c r="I3" s="1427"/>
      <c r="J3" s="1427"/>
      <c r="K3" s="1427"/>
      <c r="L3" s="1427"/>
      <c r="M3" s="1427"/>
      <c r="N3" s="1427"/>
      <c r="O3" s="1427"/>
      <c r="P3" s="1428"/>
      <c r="Q3"/>
      <c r="R3"/>
    </row>
    <row r="4" spans="1:21" s="315" customFormat="1" ht="16.2" thickBot="1">
      <c r="A4" s="1424" t="s">
        <v>1294</v>
      </c>
      <c r="B4" s="1425"/>
      <c r="C4" s="1425"/>
      <c r="D4" s="1425"/>
      <c r="E4" s="322" t="str">
        <f>+'Datos Generales'!C6</f>
        <v>2023-II</v>
      </c>
      <c r="F4" s="322"/>
      <c r="G4" s="322"/>
      <c r="H4" s="322"/>
      <c r="I4" s="322"/>
      <c r="J4" s="322"/>
      <c r="K4" s="322"/>
      <c r="L4" s="323"/>
      <c r="M4" s="323"/>
      <c r="N4" s="323"/>
      <c r="O4" s="323"/>
      <c r="P4" s="324"/>
      <c r="Q4"/>
      <c r="R4"/>
    </row>
    <row r="5" spans="1:21" ht="16.5" customHeight="1" thickBot="1">
      <c r="A5" s="1426" t="s">
        <v>219</v>
      </c>
      <c r="B5" s="1427"/>
      <c r="C5" s="1427"/>
      <c r="D5" s="1427"/>
      <c r="E5" s="1427"/>
      <c r="F5" s="1427"/>
      <c r="G5" s="1427"/>
      <c r="H5" s="1427"/>
      <c r="I5" s="1427"/>
      <c r="J5" s="1427"/>
      <c r="K5" s="1427"/>
      <c r="L5" s="1427"/>
      <c r="M5" s="1427"/>
      <c r="N5" s="1427"/>
      <c r="O5" s="1427"/>
      <c r="P5" s="1428"/>
    </row>
    <row r="6" spans="1:21">
      <c r="B6" s="1" t="s">
        <v>1</v>
      </c>
      <c r="C6" s="64"/>
      <c r="D6" s="5"/>
      <c r="E6" s="62"/>
      <c r="F6" s="5" t="s">
        <v>127</v>
      </c>
      <c r="G6" s="5"/>
      <c r="H6" s="5"/>
      <c r="I6" s="5"/>
      <c r="J6" s="5"/>
      <c r="K6" s="5"/>
    </row>
    <row r="7" spans="1:21" ht="15" thickBot="1">
      <c r="B7" s="63"/>
      <c r="C7" s="65"/>
      <c r="D7" s="5"/>
      <c r="E7" s="14"/>
      <c r="F7" s="5" t="s">
        <v>128</v>
      </c>
      <c r="G7" s="5"/>
      <c r="H7" s="5"/>
      <c r="I7" s="5"/>
      <c r="J7" s="5"/>
      <c r="K7" s="5"/>
    </row>
    <row r="8" spans="1:21" ht="15" thickBot="1">
      <c r="B8" s="144" t="s">
        <v>1180</v>
      </c>
      <c r="C8" s="571">
        <v>2023</v>
      </c>
      <c r="D8" s="171">
        <f>IF(E10="NO APLICA","NO APLICA",IF(E11="NO SE REPORTA","SIN INFORMACION",))+H27</f>
        <v>1</v>
      </c>
      <c r="E8" s="168"/>
      <c r="F8" s="5" t="s">
        <v>129</v>
      </c>
      <c r="G8" s="5"/>
      <c r="H8" s="5"/>
      <c r="I8" s="5"/>
      <c r="J8" s="5"/>
      <c r="K8" s="5"/>
    </row>
    <row r="9" spans="1:21">
      <c r="B9" s="300" t="s">
        <v>1181</v>
      </c>
      <c r="C9" s="67"/>
      <c r="D9" s="5"/>
      <c r="E9" s="5"/>
      <c r="F9" s="5"/>
      <c r="G9" s="5"/>
      <c r="H9" s="5"/>
      <c r="I9" s="5"/>
      <c r="J9" s="5"/>
      <c r="K9" s="5"/>
    </row>
    <row r="10" spans="1:21" ht="18.75" customHeight="1">
      <c r="B10" s="1429" t="s">
        <v>1236</v>
      </c>
      <c r="C10" s="1429"/>
      <c r="D10" s="1429"/>
      <c r="E10" s="303" t="s">
        <v>1233</v>
      </c>
      <c r="F10" s="1436"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437"/>
      <c r="H10" s="1437"/>
      <c r="I10" s="1437"/>
      <c r="J10" s="1437"/>
      <c r="K10" s="1437"/>
      <c r="L10" s="1437"/>
      <c r="M10" s="1437"/>
      <c r="N10" s="1437"/>
      <c r="O10" s="1437"/>
      <c r="P10" s="1437"/>
      <c r="Q10" s="1437"/>
      <c r="R10" s="1437"/>
      <c r="S10" s="1437"/>
      <c r="T10" s="5"/>
      <c r="U10" s="5"/>
    </row>
    <row r="11" spans="1:21" ht="18.75" customHeight="1">
      <c r="B11" s="302"/>
      <c r="C11" s="67"/>
      <c r="D11" s="144" t="str">
        <f>IF(E10="SI APLICA","¿El indicador no se reporta por limitaciones de información disponible? ","")</f>
        <v xml:space="preserve">¿El indicador no se reporta por limitaciones de información disponible? </v>
      </c>
      <c r="E11" s="304" t="s">
        <v>1235</v>
      </c>
      <c r="F11" s="1430"/>
      <c r="G11" s="1431"/>
      <c r="H11" s="1431"/>
      <c r="I11" s="1431"/>
      <c r="J11" s="1431"/>
      <c r="K11" s="1431"/>
      <c r="L11" s="1431"/>
      <c r="M11" s="1431"/>
      <c r="N11" s="1431"/>
      <c r="O11" s="1431"/>
      <c r="P11" s="1431"/>
      <c r="Q11" s="1431"/>
      <c r="R11" s="1431"/>
      <c r="S11" s="1431"/>
    </row>
    <row r="12" spans="1:21" ht="35.25" customHeight="1">
      <c r="B12" s="300"/>
      <c r="C12" s="67"/>
      <c r="D12" s="144" t="str">
        <f>IF(E11="SI SE REPORTA","¿Qué programas o proyectos del Plan de Acción están asociados al indicador? ","")</f>
        <v xml:space="preserve">¿Qué programas o proyectos del Plan de Acción están asociados al indicador? </v>
      </c>
      <c r="E12" s="1560" t="s">
        <v>1832</v>
      </c>
      <c r="F12" s="1560"/>
      <c r="G12" s="1560"/>
      <c r="H12" s="1560"/>
      <c r="I12" s="1560"/>
      <c r="J12" s="1560"/>
      <c r="K12" s="1560"/>
      <c r="L12" s="1560"/>
      <c r="M12" s="1560"/>
      <c r="N12" s="1560"/>
      <c r="O12" s="1560"/>
      <c r="P12" s="1560"/>
      <c r="Q12" s="1560"/>
      <c r="R12" s="1560"/>
    </row>
    <row r="13" spans="1:21" ht="21.9" customHeight="1">
      <c r="B13" s="300"/>
      <c r="C13" s="67"/>
      <c r="D13" s="144" t="s">
        <v>1238</v>
      </c>
      <c r="E13" s="1433" t="s">
        <v>1953</v>
      </c>
      <c r="F13" s="1434"/>
      <c r="G13" s="1434"/>
      <c r="H13" s="1434"/>
      <c r="I13" s="1434"/>
      <c r="J13" s="1434"/>
      <c r="K13" s="1434"/>
      <c r="L13" s="1434"/>
      <c r="M13" s="1434"/>
      <c r="N13" s="1434"/>
      <c r="O13" s="1434"/>
      <c r="P13" s="1434"/>
      <c r="Q13" s="1434"/>
      <c r="R13" s="1435"/>
    </row>
    <row r="14" spans="1:21" ht="6.9" customHeight="1" thickBot="1">
      <c r="B14" s="300"/>
      <c r="C14" s="67"/>
      <c r="D14" s="5"/>
      <c r="E14" s="5"/>
      <c r="F14" s="5"/>
      <c r="G14" s="5"/>
      <c r="H14" s="5"/>
      <c r="I14" s="5"/>
      <c r="J14" s="5"/>
      <c r="K14" s="5"/>
    </row>
    <row r="15" spans="1:21" ht="15" customHeight="1" thickTop="1">
      <c r="B15" s="1561" t="s">
        <v>2</v>
      </c>
      <c r="C15" s="68"/>
      <c r="D15" s="1450" t="s">
        <v>3</v>
      </c>
      <c r="E15" s="1451"/>
      <c r="F15" s="1451"/>
      <c r="G15" s="1451"/>
      <c r="H15" s="1451"/>
      <c r="I15" s="1451"/>
      <c r="J15" s="1451"/>
      <c r="K15" s="1452"/>
    </row>
    <row r="16" spans="1:21" ht="15" thickBot="1">
      <c r="B16" s="1484"/>
      <c r="C16" s="71"/>
      <c r="D16" s="1453" t="s">
        <v>251</v>
      </c>
      <c r="E16" s="1454"/>
      <c r="F16" s="1454"/>
      <c r="G16" s="1454"/>
      <c r="H16" s="1454"/>
      <c r="I16" s="1454"/>
      <c r="J16" s="1454"/>
      <c r="K16" s="1455"/>
    </row>
    <row r="17" spans="2:11" ht="20.25" customHeight="1" thickBot="1">
      <c r="B17" s="1484"/>
      <c r="C17" s="77" t="s">
        <v>18</v>
      </c>
      <c r="D17" s="30" t="s">
        <v>252</v>
      </c>
      <c r="E17" s="69" t="s">
        <v>19</v>
      </c>
      <c r="F17" s="69" t="s">
        <v>20</v>
      </c>
      <c r="G17" s="69" t="s">
        <v>21</v>
      </c>
      <c r="H17" s="69" t="s">
        <v>22</v>
      </c>
      <c r="I17" s="178"/>
      <c r="K17" s="17"/>
    </row>
    <row r="18" spans="2:11" ht="30" customHeight="1" thickBot="1">
      <c r="B18" s="1484"/>
      <c r="C18" s="2" t="s">
        <v>151</v>
      </c>
      <c r="D18" s="31" t="s">
        <v>254</v>
      </c>
      <c r="E18" s="162">
        <v>0</v>
      </c>
      <c r="F18" s="162">
        <v>1</v>
      </c>
      <c r="G18" s="162"/>
      <c r="H18" s="162">
        <v>2</v>
      </c>
      <c r="I18" s="210"/>
      <c r="J18" s="699" t="s">
        <v>1947</v>
      </c>
      <c r="K18" s="17"/>
    </row>
    <row r="19" spans="2:11" ht="15" thickBot="1">
      <c r="B19" s="1484"/>
      <c r="C19" s="2" t="s">
        <v>153</v>
      </c>
      <c r="D19" s="31" t="s">
        <v>255</v>
      </c>
      <c r="E19" s="162">
        <v>1</v>
      </c>
      <c r="F19" s="162">
        <v>1</v>
      </c>
      <c r="G19" s="162"/>
      <c r="H19" s="162">
        <v>2</v>
      </c>
      <c r="I19" s="210"/>
      <c r="J19" s="509"/>
      <c r="K19" s="17"/>
    </row>
    <row r="20" spans="2:11" ht="15" thickBot="1">
      <c r="B20" s="1484"/>
      <c r="C20" s="2" t="s">
        <v>155</v>
      </c>
      <c r="D20" s="31" t="s">
        <v>256</v>
      </c>
      <c r="E20" s="162">
        <v>0</v>
      </c>
      <c r="F20" s="162">
        <v>0</v>
      </c>
      <c r="G20" s="162"/>
      <c r="H20" s="162"/>
      <c r="I20" s="210"/>
      <c r="K20" s="17"/>
    </row>
    <row r="21" spans="2:11" ht="15" thickBot="1">
      <c r="B21" s="1484"/>
      <c r="C21" s="2" t="s">
        <v>257</v>
      </c>
      <c r="D21" s="31" t="s">
        <v>258</v>
      </c>
      <c r="E21" s="162">
        <v>0</v>
      </c>
      <c r="F21" s="162">
        <v>0</v>
      </c>
      <c r="G21" s="162"/>
      <c r="H21" s="162"/>
      <c r="I21" s="210"/>
      <c r="K21" s="17"/>
    </row>
    <row r="22" spans="2:11" ht="15" thickBot="1">
      <c r="B22" s="1484"/>
      <c r="C22" s="2" t="s">
        <v>259</v>
      </c>
      <c r="D22" s="31" t="s">
        <v>260</v>
      </c>
      <c r="E22" s="162">
        <v>0</v>
      </c>
      <c r="F22" s="162">
        <v>0</v>
      </c>
      <c r="G22" s="162"/>
      <c r="H22" s="162"/>
      <c r="I22" s="210"/>
      <c r="K22" s="17"/>
    </row>
    <row r="23" spans="2:11" ht="15" thickBot="1">
      <c r="B23" s="1484"/>
      <c r="C23" s="2" t="s">
        <v>261</v>
      </c>
      <c r="D23" s="31" t="s">
        <v>262</v>
      </c>
      <c r="E23" s="162">
        <v>0</v>
      </c>
      <c r="F23" s="162">
        <v>0</v>
      </c>
      <c r="G23" s="162"/>
      <c r="H23" s="162"/>
      <c r="I23" s="210"/>
      <c r="K23" s="17"/>
    </row>
    <row r="24" spans="2:11" ht="15" thickBot="1">
      <c r="B24" s="1484"/>
      <c r="C24" s="2" t="s">
        <v>263</v>
      </c>
      <c r="D24" s="31" t="s">
        <v>264</v>
      </c>
      <c r="E24" s="148" t="str">
        <f>IFERROR(E19/E18,"N.A.")</f>
        <v>N.A.</v>
      </c>
      <c r="F24" s="148">
        <f>IFERROR(F19/F18,"N.A.")</f>
        <v>1</v>
      </c>
      <c r="G24" s="148" t="str">
        <f>IFERROR(G19/G18,"N.A.")</f>
        <v>N.A.</v>
      </c>
      <c r="H24" s="148">
        <f>IFERROR(H19/H18,"N.A.")</f>
        <v>1</v>
      </c>
      <c r="I24" s="192"/>
      <c r="K24" s="17"/>
    </row>
    <row r="25" spans="2:11" ht="15" thickBot="1">
      <c r="B25" s="1484"/>
      <c r="C25" s="2" t="s">
        <v>265</v>
      </c>
      <c r="D25" s="31" t="s">
        <v>266</v>
      </c>
      <c r="E25" s="148" t="str">
        <f>IFERROR(E21/E20,"N.A.")</f>
        <v>N.A.</v>
      </c>
      <c r="F25" s="148" t="str">
        <f>IFERROR(F21/F20,"N.A.")</f>
        <v>N.A.</v>
      </c>
      <c r="G25" s="148" t="str">
        <f>IFERROR(G21/G20,"N.A.")</f>
        <v>N.A.</v>
      </c>
      <c r="H25" s="148" t="str">
        <f>IFERROR(H21/H20,"N.A.")</f>
        <v>N.A.</v>
      </c>
      <c r="I25" s="192"/>
      <c r="K25" s="17"/>
    </row>
    <row r="26" spans="2:11" ht="15" thickBot="1">
      <c r="B26" s="1484"/>
      <c r="C26" s="2" t="s">
        <v>267</v>
      </c>
      <c r="D26" s="31" t="s">
        <v>268</v>
      </c>
      <c r="E26" s="148" t="str">
        <f>IFERROR(E23/E22,"N.A.")</f>
        <v>N.A.</v>
      </c>
      <c r="F26" s="148" t="str">
        <f>IFERROR(F23/F22,"N.A.")</f>
        <v>N.A.</v>
      </c>
      <c r="G26" s="148" t="str">
        <f>IFERROR(G23/G22,"N.A.")</f>
        <v>N.A.</v>
      </c>
      <c r="H26" s="148" t="str">
        <f>IFERROR(H23/H22,"N.A.")</f>
        <v>N.A.</v>
      </c>
      <c r="I26" s="192"/>
      <c r="K26" s="17"/>
    </row>
    <row r="27" spans="2:11" ht="15" thickBot="1">
      <c r="B27" s="207"/>
      <c r="C27" s="80"/>
      <c r="D27" s="208" t="s">
        <v>1191</v>
      </c>
      <c r="E27" s="148" t="str">
        <f>IFERROR(AVERAGE(E24:E26),"N.A.")</f>
        <v>N.A.</v>
      </c>
      <c r="F27" s="148">
        <f>IFERROR(AVERAGE(F24:F26),"N.A.")</f>
        <v>1</v>
      </c>
      <c r="G27" s="148" t="str">
        <f>IFERROR(AVERAGE(G24:G26),"N.A.")</f>
        <v>N.A.</v>
      </c>
      <c r="H27" s="148">
        <f>IFERROR(AVERAGE(H24:H26),"N.A.")</f>
        <v>1</v>
      </c>
      <c r="I27" s="192"/>
      <c r="K27" s="17"/>
    </row>
    <row r="28" spans="2:11">
      <c r="B28" s="175"/>
      <c r="C28" s="71"/>
      <c r="D28" s="1441"/>
      <c r="E28" s="1442"/>
      <c r="F28" s="1442"/>
      <c r="G28" s="1442"/>
      <c r="H28" s="1442"/>
      <c r="I28" s="1442"/>
      <c r="J28" s="1442"/>
      <c r="K28" s="1443"/>
    </row>
    <row r="29" spans="2:11">
      <c r="B29" s="175"/>
      <c r="C29" s="71"/>
      <c r="D29" s="1453" t="s">
        <v>245</v>
      </c>
      <c r="E29" s="1454"/>
      <c r="F29" s="1454"/>
      <c r="G29" s="1454"/>
      <c r="H29" s="1454"/>
      <c r="I29" s="1454"/>
      <c r="J29" s="1454"/>
      <c r="K29" s="1455"/>
    </row>
    <row r="30" spans="2:11" ht="15" thickBot="1">
      <c r="B30" s="175"/>
      <c r="C30" s="71"/>
      <c r="D30" s="1444" t="s">
        <v>246</v>
      </c>
      <c r="E30" s="1445"/>
      <c r="F30" s="1445"/>
      <c r="G30" s="1445"/>
      <c r="H30" s="1445"/>
      <c r="I30" s="1445"/>
      <c r="J30" s="1445"/>
      <c r="K30" s="1446"/>
    </row>
    <row r="31" spans="2:11" ht="27" customHeight="1" thickBot="1">
      <c r="B31" s="175"/>
      <c r="C31" s="77" t="s">
        <v>18</v>
      </c>
      <c r="D31" s="756" t="s">
        <v>269</v>
      </c>
      <c r="E31" s="756" t="s">
        <v>270</v>
      </c>
      <c r="F31" s="756" t="s">
        <v>271</v>
      </c>
      <c r="G31" s="756" t="s">
        <v>272</v>
      </c>
      <c r="H31" s="756" t="s">
        <v>273</v>
      </c>
      <c r="I31" s="756" t="s">
        <v>274</v>
      </c>
      <c r="J31" s="756" t="s">
        <v>54</v>
      </c>
      <c r="K31" s="92"/>
    </row>
    <row r="32" spans="2:11" s="151" customFormat="1" ht="98.25" customHeight="1" thickBot="1">
      <c r="B32" s="172"/>
      <c r="C32" s="176">
        <v>1</v>
      </c>
      <c r="D32" s="510" t="s">
        <v>1952</v>
      </c>
      <c r="E32" s="454" t="s">
        <v>11</v>
      </c>
      <c r="F32" s="844">
        <v>150019282</v>
      </c>
      <c r="G32" s="844">
        <v>150019282</v>
      </c>
      <c r="H32" s="844">
        <v>149962985</v>
      </c>
      <c r="I32" s="844">
        <v>128771939</v>
      </c>
      <c r="J32" s="511" t="s">
        <v>2804</v>
      </c>
      <c r="K32" s="90"/>
    </row>
    <row r="33" spans="2:11" s="151" customFormat="1" ht="120" customHeight="1" thickBot="1">
      <c r="B33" s="172"/>
      <c r="C33" s="176">
        <v>2</v>
      </c>
      <c r="D33" s="510" t="s">
        <v>1950</v>
      </c>
      <c r="E33" s="454" t="s">
        <v>11</v>
      </c>
      <c r="F33" s="844">
        <v>140000000</v>
      </c>
      <c r="G33" s="844">
        <v>139994089</v>
      </c>
      <c r="H33" s="844">
        <v>139994089</v>
      </c>
      <c r="I33" s="844">
        <v>139994089</v>
      </c>
      <c r="J33" s="511" t="s">
        <v>1979</v>
      </c>
      <c r="K33" s="90"/>
    </row>
    <row r="34" spans="2:11" s="151" customFormat="1" ht="112.5" customHeight="1" thickBot="1">
      <c r="B34" s="172"/>
      <c r="C34" s="176">
        <v>3</v>
      </c>
      <c r="D34" s="510" t="s">
        <v>1951</v>
      </c>
      <c r="E34" s="454" t="s">
        <v>11</v>
      </c>
      <c r="F34" s="844">
        <v>147980718</v>
      </c>
      <c r="G34" s="844">
        <v>147980718</v>
      </c>
      <c r="H34" s="844">
        <v>115974788</v>
      </c>
      <c r="I34" s="844">
        <v>104883964</v>
      </c>
      <c r="J34" s="511" t="s">
        <v>1980</v>
      </c>
      <c r="K34" s="90"/>
    </row>
    <row r="35" spans="2:11" s="151" customFormat="1" ht="128.25" customHeight="1" thickBot="1">
      <c r="B35" s="172"/>
      <c r="C35" s="176">
        <v>4</v>
      </c>
      <c r="D35" s="757" t="s">
        <v>1831</v>
      </c>
      <c r="E35" s="758" t="s">
        <v>11</v>
      </c>
      <c r="F35" s="845">
        <v>150000000</v>
      </c>
      <c r="G35" s="845">
        <v>150000000</v>
      </c>
      <c r="H35" s="845">
        <v>125950195</v>
      </c>
      <c r="I35" s="845">
        <v>118607062</v>
      </c>
      <c r="J35" s="759" t="s">
        <v>1981</v>
      </c>
      <c r="K35" s="90"/>
    </row>
    <row r="36" spans="2:11" ht="24.75" customHeight="1" thickBot="1">
      <c r="B36" s="175"/>
      <c r="C36" s="2"/>
      <c r="D36" s="4" t="s">
        <v>150</v>
      </c>
      <c r="E36" s="59"/>
      <c r="F36" s="760">
        <f>SUM(F32:F35)</f>
        <v>588000000</v>
      </c>
      <c r="G36" s="760">
        <f>SUM(G32:G35)</f>
        <v>587994089</v>
      </c>
      <c r="H36" s="760">
        <f>SUM(H32:H35)</f>
        <v>531882057</v>
      </c>
      <c r="I36" s="760">
        <f>SUM(I32:I35)</f>
        <v>492257054</v>
      </c>
      <c r="J36" s="761"/>
      <c r="K36" s="94"/>
    </row>
    <row r="37" spans="2:11" ht="15" thickBot="1">
      <c r="B37" s="37"/>
      <c r="C37" s="72"/>
      <c r="D37" s="1462" t="s">
        <v>275</v>
      </c>
      <c r="E37" s="1463"/>
      <c r="F37" s="1463"/>
      <c r="G37" s="1463"/>
      <c r="H37" s="1463"/>
      <c r="I37" s="1463"/>
      <c r="J37" s="1463"/>
      <c r="K37" s="1464"/>
    </row>
    <row r="38" spans="2:11" ht="36" customHeight="1" thickBot="1">
      <c r="B38" s="61" t="s">
        <v>33</v>
      </c>
      <c r="C38" s="86"/>
      <c r="D38" s="1462" t="s">
        <v>276</v>
      </c>
      <c r="E38" s="1463"/>
      <c r="F38" s="1463"/>
      <c r="G38" s="1463"/>
      <c r="H38" s="1463"/>
      <c r="I38" s="1463"/>
      <c r="J38" s="1463"/>
      <c r="K38" s="1464"/>
    </row>
    <row r="39" spans="2:11" ht="21" thickBot="1">
      <c r="B39" s="61" t="s">
        <v>35</v>
      </c>
      <c r="C39" s="86"/>
      <c r="D39" s="1462" t="s">
        <v>277</v>
      </c>
      <c r="E39" s="1463"/>
      <c r="F39" s="1463"/>
      <c r="G39" s="1463"/>
      <c r="H39" s="1463"/>
      <c r="I39" s="1463"/>
      <c r="J39" s="1463"/>
      <c r="K39" s="1464"/>
    </row>
    <row r="40" spans="2:11" ht="15" thickBot="1">
      <c r="B40" s="1"/>
      <c r="C40" s="64"/>
      <c r="D40" s="5"/>
      <c r="E40" s="5"/>
      <c r="F40" s="5"/>
      <c r="G40" s="5"/>
      <c r="H40" s="5"/>
      <c r="I40" s="5"/>
      <c r="J40" s="5"/>
      <c r="K40" s="5"/>
    </row>
    <row r="41" spans="2:11" ht="24" customHeight="1" thickBot="1">
      <c r="B41" s="1469" t="s">
        <v>37</v>
      </c>
      <c r="C41" s="1470"/>
      <c r="D41" s="1470"/>
      <c r="E41" s="1471"/>
      <c r="F41" s="5"/>
      <c r="G41" s="5"/>
      <c r="H41" s="5"/>
      <c r="I41" s="5"/>
      <c r="J41" s="5"/>
      <c r="K41" s="5"/>
    </row>
    <row r="42" spans="2:11" ht="15" thickBot="1">
      <c r="B42" s="1459">
        <v>1</v>
      </c>
      <c r="C42" s="73"/>
      <c r="D42" s="38" t="s">
        <v>38</v>
      </c>
      <c r="E42" s="25" t="s">
        <v>1814</v>
      </c>
      <c r="F42" s="5"/>
      <c r="G42" s="5"/>
      <c r="H42" s="5"/>
      <c r="I42" s="5"/>
      <c r="J42" s="5"/>
      <c r="K42" s="5"/>
    </row>
    <row r="43" spans="2:11" ht="24.6" thickBot="1">
      <c r="B43" s="1460"/>
      <c r="C43" s="73"/>
      <c r="D43" s="32" t="s">
        <v>39</v>
      </c>
      <c r="E43" s="24" t="s">
        <v>1977</v>
      </c>
      <c r="F43" s="5"/>
      <c r="G43" s="5"/>
      <c r="H43" s="5"/>
      <c r="I43" s="5"/>
      <c r="J43" s="5"/>
      <c r="K43" s="5"/>
    </row>
    <row r="44" spans="2:11" ht="15" thickBot="1">
      <c r="B44" s="1460"/>
      <c r="C44" s="73"/>
      <c r="D44" s="32" t="s">
        <v>40</v>
      </c>
      <c r="E44" s="24" t="s">
        <v>1821</v>
      </c>
      <c r="F44" s="5"/>
      <c r="G44" s="5"/>
      <c r="H44" s="5"/>
      <c r="I44" s="5"/>
      <c r="J44" s="5"/>
      <c r="K44" s="5"/>
    </row>
    <row r="45" spans="2:11" ht="15" thickBot="1">
      <c r="B45" s="1460"/>
      <c r="C45" s="73"/>
      <c r="D45" s="32" t="s">
        <v>41</v>
      </c>
      <c r="E45" s="25" t="s">
        <v>2052</v>
      </c>
      <c r="F45" s="5"/>
      <c r="G45" s="5"/>
      <c r="H45" s="5"/>
      <c r="I45" s="5"/>
      <c r="J45" s="5"/>
      <c r="K45" s="5"/>
    </row>
    <row r="46" spans="2:11" ht="15" thickBot="1">
      <c r="B46" s="1460"/>
      <c r="C46" s="73"/>
      <c r="D46" s="32" t="s">
        <v>42</v>
      </c>
      <c r="E46" s="507" t="s">
        <v>1816</v>
      </c>
      <c r="F46" s="5"/>
      <c r="G46" s="5"/>
      <c r="H46" s="5"/>
      <c r="I46" s="5"/>
      <c r="J46" s="5"/>
      <c r="K46" s="5"/>
    </row>
    <row r="47" spans="2:11" ht="15" thickBot="1">
      <c r="B47" s="1460"/>
      <c r="C47" s="73"/>
      <c r="D47" s="32" t="s">
        <v>43</v>
      </c>
      <c r="E47" s="282">
        <v>3686626</v>
      </c>
      <c r="F47" s="5"/>
      <c r="G47" s="5"/>
      <c r="H47" s="5"/>
      <c r="I47" s="5"/>
      <c r="J47" s="5"/>
      <c r="K47" s="5"/>
    </row>
    <row r="48" spans="2:11" ht="15" thickBot="1">
      <c r="B48" s="1461"/>
      <c r="C48" s="2"/>
      <c r="D48" s="32" t="s">
        <v>44</v>
      </c>
      <c r="E48" s="24" t="s">
        <v>1817</v>
      </c>
      <c r="F48" s="5"/>
      <c r="G48" s="5"/>
      <c r="H48" s="5"/>
      <c r="I48" s="5"/>
      <c r="J48" s="5"/>
      <c r="K48" s="5"/>
    </row>
    <row r="49" spans="2:11" ht="15" thickBot="1">
      <c r="B49" s="1"/>
      <c r="C49" s="64"/>
      <c r="D49" s="5"/>
      <c r="E49" s="5"/>
      <c r="F49" s="5"/>
      <c r="G49" s="5"/>
      <c r="H49" s="5"/>
      <c r="I49" s="5"/>
      <c r="J49" s="5"/>
      <c r="K49" s="5"/>
    </row>
    <row r="50" spans="2:11" ht="15" thickBot="1">
      <c r="B50" s="1469" t="s">
        <v>45</v>
      </c>
      <c r="C50" s="1470"/>
      <c r="D50" s="1470"/>
      <c r="E50" s="1471"/>
      <c r="F50" s="5"/>
      <c r="G50" s="5"/>
      <c r="H50" s="5"/>
      <c r="I50" s="5"/>
      <c r="J50" s="5"/>
      <c r="K50" s="5"/>
    </row>
    <row r="51" spans="2:11" ht="27" customHeight="1" thickBot="1">
      <c r="B51" s="1459">
        <v>1</v>
      </c>
      <c r="C51" s="73"/>
      <c r="D51" s="38" t="s">
        <v>38</v>
      </c>
      <c r="E51" s="177" t="s">
        <v>46</v>
      </c>
      <c r="F51" s="5"/>
      <c r="G51" s="5"/>
      <c r="H51" s="5"/>
      <c r="I51" s="5"/>
      <c r="J51" s="5"/>
      <c r="K51" s="5"/>
    </row>
    <row r="52" spans="2:11" ht="26.25" customHeight="1" thickBot="1">
      <c r="B52" s="1460"/>
      <c r="C52" s="73"/>
      <c r="D52" s="32" t="s">
        <v>39</v>
      </c>
      <c r="E52" s="177" t="s">
        <v>47</v>
      </c>
      <c r="F52" s="5"/>
      <c r="G52" s="5"/>
      <c r="H52" s="5"/>
      <c r="I52" s="5"/>
      <c r="J52" s="5"/>
      <c r="K52" s="5"/>
    </row>
    <row r="53" spans="2:11" ht="15" thickBot="1">
      <c r="B53" s="1460"/>
      <c r="C53" s="73"/>
      <c r="D53" s="32" t="s">
        <v>40</v>
      </c>
      <c r="E53" s="191"/>
      <c r="F53" s="5"/>
      <c r="G53" s="5"/>
      <c r="H53" s="5"/>
      <c r="I53" s="5"/>
      <c r="J53" s="5"/>
      <c r="K53" s="5"/>
    </row>
    <row r="54" spans="2:11" ht="15" thickBot="1">
      <c r="B54" s="1460"/>
      <c r="C54" s="73"/>
      <c r="D54" s="32" t="s">
        <v>41</v>
      </c>
      <c r="E54" s="191"/>
      <c r="F54" s="5"/>
      <c r="G54" s="5"/>
      <c r="H54" s="5"/>
      <c r="I54" s="5"/>
      <c r="J54" s="5"/>
      <c r="K54" s="5"/>
    </row>
    <row r="55" spans="2:11" ht="15" thickBot="1">
      <c r="B55" s="1460"/>
      <c r="C55" s="73"/>
      <c r="D55" s="32" t="s">
        <v>42</v>
      </c>
      <c r="E55" s="191"/>
      <c r="F55" s="5"/>
      <c r="G55" s="5"/>
      <c r="H55" s="5"/>
      <c r="I55" s="5"/>
      <c r="J55" s="5"/>
      <c r="K55" s="5"/>
    </row>
    <row r="56" spans="2:11" ht="15" thickBot="1">
      <c r="B56" s="1460"/>
      <c r="C56" s="73"/>
      <c r="D56" s="32" t="s">
        <v>43</v>
      </c>
      <c r="E56" s="191"/>
      <c r="F56" s="5"/>
      <c r="G56" s="5"/>
      <c r="H56" s="5"/>
      <c r="I56" s="5"/>
      <c r="J56" s="5"/>
      <c r="K56" s="5"/>
    </row>
    <row r="57" spans="2:11" ht="15" thickBot="1">
      <c r="B57" s="1461"/>
      <c r="C57" s="2"/>
      <c r="D57" s="32" t="s">
        <v>44</v>
      </c>
      <c r="E57" s="191"/>
      <c r="F57" s="5"/>
      <c r="G57" s="5"/>
      <c r="H57" s="5"/>
      <c r="I57" s="5"/>
      <c r="J57" s="5"/>
      <c r="K57" s="5"/>
    </row>
    <row r="58" spans="2:11" ht="15" thickBot="1">
      <c r="B58" s="1"/>
      <c r="C58" s="64"/>
      <c r="D58" s="5"/>
      <c r="E58" s="5"/>
      <c r="F58" s="5"/>
      <c r="G58" s="5"/>
      <c r="H58" s="5"/>
      <c r="I58" s="5"/>
      <c r="J58" s="5"/>
      <c r="K58" s="5"/>
    </row>
    <row r="59" spans="2:11" ht="15" thickBot="1">
      <c r="B59" s="1469" t="s">
        <v>48</v>
      </c>
      <c r="C59" s="1470"/>
      <c r="D59" s="1470"/>
      <c r="E59" s="1470"/>
      <c r="F59" s="1471"/>
      <c r="G59" s="5"/>
      <c r="H59" s="5"/>
      <c r="I59" s="5"/>
      <c r="J59" s="5"/>
      <c r="K59" s="5"/>
    </row>
    <row r="60" spans="2:11" ht="15" thickBot="1">
      <c r="B60" s="37" t="s">
        <v>49</v>
      </c>
      <c r="C60" s="32" t="s">
        <v>50</v>
      </c>
      <c r="D60" s="32" t="s">
        <v>51</v>
      </c>
      <c r="E60" s="32" t="s">
        <v>52</v>
      </c>
      <c r="F60" s="5"/>
      <c r="G60" s="5"/>
      <c r="H60" s="5"/>
      <c r="I60" s="5"/>
      <c r="J60" s="5"/>
    </row>
    <row r="61" spans="2:11" ht="72.599999999999994" thickBot="1">
      <c r="B61" s="39">
        <v>42401</v>
      </c>
      <c r="C61" s="32">
        <v>0.01</v>
      </c>
      <c r="D61" s="58" t="s">
        <v>278</v>
      </c>
      <c r="E61" s="32"/>
      <c r="F61" s="5"/>
      <c r="G61" s="5"/>
      <c r="H61" s="5"/>
      <c r="I61" s="5"/>
      <c r="J61" s="5"/>
    </row>
    <row r="62" spans="2:11" ht="15" thickBot="1">
      <c r="B62" s="1"/>
      <c r="C62" s="64"/>
      <c r="D62" s="5"/>
      <c r="E62" s="5"/>
      <c r="F62" s="5"/>
      <c r="G62" s="5"/>
      <c r="H62" s="5"/>
      <c r="I62" s="5"/>
      <c r="J62" s="5"/>
      <c r="K62" s="5"/>
    </row>
    <row r="63" spans="2:11" ht="15" thickBot="1">
      <c r="B63" s="4" t="s">
        <v>54</v>
      </c>
      <c r="C63" s="75"/>
      <c r="D63" s="5"/>
      <c r="E63" s="5"/>
      <c r="F63" s="5"/>
      <c r="G63" s="5"/>
      <c r="H63" s="5"/>
      <c r="I63" s="5"/>
      <c r="J63" s="5"/>
      <c r="K63" s="5"/>
    </row>
    <row r="64" spans="2:11" ht="15" thickBot="1">
      <c r="B64" s="1469" t="s">
        <v>55</v>
      </c>
      <c r="C64" s="1470"/>
      <c r="D64" s="1471"/>
      <c r="E64" s="5"/>
      <c r="F64" s="5"/>
      <c r="G64" s="5"/>
      <c r="H64" s="5"/>
      <c r="I64" s="5"/>
      <c r="J64" s="5"/>
      <c r="K64" s="5"/>
    </row>
    <row r="65" spans="2:11" ht="84.6" thickBot="1">
      <c r="B65" s="37" t="s">
        <v>56</v>
      </c>
      <c r="C65" s="2"/>
      <c r="D65" s="32" t="s">
        <v>220</v>
      </c>
      <c r="E65" s="5"/>
      <c r="F65" s="5"/>
      <c r="G65" s="5"/>
      <c r="H65" s="5"/>
      <c r="I65" s="5"/>
      <c r="J65" s="5"/>
      <c r="K65" s="5"/>
    </row>
    <row r="66" spans="2:11">
      <c r="B66" s="1459" t="s">
        <v>58</v>
      </c>
      <c r="C66" s="73"/>
      <c r="D66" s="43" t="s">
        <v>59</v>
      </c>
      <c r="E66" s="5"/>
      <c r="F66" s="5"/>
      <c r="G66" s="5"/>
      <c r="H66" s="5"/>
      <c r="I66" s="5"/>
      <c r="J66" s="5"/>
      <c r="K66" s="5"/>
    </row>
    <row r="67" spans="2:11" ht="60">
      <c r="B67" s="1460"/>
      <c r="C67" s="73"/>
      <c r="D67" s="36" t="s">
        <v>221</v>
      </c>
      <c r="E67" s="5"/>
      <c r="F67" s="5"/>
      <c r="G67" s="5"/>
      <c r="H67" s="5"/>
      <c r="I67" s="5"/>
      <c r="J67" s="5"/>
      <c r="K67" s="5"/>
    </row>
    <row r="68" spans="2:11" ht="36">
      <c r="B68" s="1460"/>
      <c r="C68" s="73"/>
      <c r="D68" s="36" t="s">
        <v>222</v>
      </c>
      <c r="E68" s="5"/>
      <c r="F68" s="5"/>
      <c r="G68" s="5"/>
      <c r="H68" s="5"/>
      <c r="I68" s="5"/>
      <c r="J68" s="5"/>
      <c r="K68" s="5"/>
    </row>
    <row r="69" spans="2:11">
      <c r="B69" s="1460"/>
      <c r="C69" s="73"/>
      <c r="D69" s="43" t="s">
        <v>223</v>
      </c>
      <c r="E69" s="5"/>
      <c r="F69" s="5"/>
      <c r="G69" s="5"/>
      <c r="H69" s="5"/>
      <c r="I69" s="5"/>
      <c r="J69" s="5"/>
      <c r="K69" s="5"/>
    </row>
    <row r="70" spans="2:11">
      <c r="B70" s="1460"/>
      <c r="C70" s="73"/>
      <c r="D70" s="36" t="s">
        <v>63</v>
      </c>
      <c r="E70" s="5"/>
      <c r="F70" s="5"/>
      <c r="G70" s="5"/>
      <c r="H70" s="5"/>
      <c r="I70" s="5"/>
      <c r="J70" s="5"/>
      <c r="K70" s="5"/>
    </row>
    <row r="71" spans="2:11">
      <c r="B71" s="1460"/>
      <c r="C71" s="73"/>
      <c r="D71" s="36" t="s">
        <v>164</v>
      </c>
      <c r="E71" s="5"/>
      <c r="F71" s="5"/>
      <c r="G71" s="5"/>
      <c r="H71" s="5"/>
      <c r="I71" s="5"/>
      <c r="J71" s="5"/>
      <c r="K71" s="5"/>
    </row>
    <row r="72" spans="2:11" ht="15" thickBot="1">
      <c r="B72" s="1461"/>
      <c r="C72" s="2"/>
      <c r="D72" s="32" t="s">
        <v>224</v>
      </c>
      <c r="E72" s="5"/>
      <c r="F72" s="5"/>
      <c r="G72" s="5"/>
      <c r="H72" s="5"/>
      <c r="I72" s="5"/>
      <c r="J72" s="5"/>
      <c r="K72" s="5"/>
    </row>
    <row r="73" spans="2:11" ht="24.6" thickBot="1">
      <c r="B73" s="37" t="s">
        <v>71</v>
      </c>
      <c r="C73" s="2"/>
      <c r="D73" s="32"/>
      <c r="E73" s="5"/>
      <c r="F73" s="5"/>
      <c r="G73" s="5"/>
      <c r="H73" s="5"/>
      <c r="I73" s="5"/>
      <c r="J73" s="5"/>
      <c r="K73" s="5"/>
    </row>
    <row r="74" spans="2:11" ht="120">
      <c r="B74" s="1459" t="s">
        <v>72</v>
      </c>
      <c r="C74" s="73"/>
      <c r="D74" s="36" t="s">
        <v>225</v>
      </c>
      <c r="E74" s="5"/>
      <c r="F74" s="5"/>
      <c r="G74" s="5"/>
      <c r="H74" s="5"/>
      <c r="I74" s="5"/>
      <c r="J74" s="5"/>
      <c r="K74" s="5"/>
    </row>
    <row r="75" spans="2:11" ht="96.6" thickBot="1">
      <c r="B75" s="1461"/>
      <c r="C75" s="2"/>
      <c r="D75" s="32" t="s">
        <v>226</v>
      </c>
      <c r="E75" s="5"/>
      <c r="F75" s="5"/>
      <c r="G75" s="5"/>
      <c r="H75" s="5"/>
      <c r="I75" s="5"/>
      <c r="J75" s="5"/>
      <c r="K75" s="5"/>
    </row>
    <row r="76" spans="2:11" ht="29.4" customHeight="1">
      <c r="B76" s="1459" t="s">
        <v>89</v>
      </c>
      <c r="C76" s="73"/>
      <c r="D76" s="36" t="s">
        <v>90</v>
      </c>
      <c r="E76" s="5"/>
      <c r="F76" s="5"/>
      <c r="G76" s="5"/>
      <c r="H76" s="5"/>
      <c r="I76" s="5"/>
      <c r="J76" s="5"/>
      <c r="K76" s="5"/>
    </row>
    <row r="77" spans="2:11" ht="50.4">
      <c r="B77" s="1460"/>
      <c r="C77" s="73"/>
      <c r="D77" s="36" t="s">
        <v>227</v>
      </c>
      <c r="E77" s="5"/>
      <c r="F77" s="5"/>
      <c r="G77" s="5"/>
      <c r="H77" s="5"/>
      <c r="I77" s="5"/>
      <c r="J77" s="5"/>
      <c r="K77" s="5"/>
    </row>
    <row r="78" spans="2:11" ht="38.4">
      <c r="B78" s="1460"/>
      <c r="C78" s="73"/>
      <c r="D78" s="36" t="s">
        <v>228</v>
      </c>
      <c r="E78" s="5"/>
      <c r="F78" s="5"/>
      <c r="G78" s="5"/>
      <c r="H78" s="5"/>
      <c r="I78" s="5"/>
      <c r="J78" s="5"/>
      <c r="K78" s="5"/>
    </row>
    <row r="79" spans="2:11" ht="26.4">
      <c r="B79" s="1460"/>
      <c r="C79" s="73"/>
      <c r="D79" s="36" t="s">
        <v>229</v>
      </c>
      <c r="E79" s="5"/>
      <c r="F79" s="5"/>
      <c r="G79" s="5"/>
      <c r="H79" s="5"/>
      <c r="I79" s="5"/>
      <c r="J79" s="5"/>
      <c r="K79" s="5"/>
    </row>
    <row r="80" spans="2:11" ht="26.4">
      <c r="B80" s="1460"/>
      <c r="C80" s="73"/>
      <c r="D80" s="36" t="s">
        <v>230</v>
      </c>
      <c r="E80" s="5"/>
      <c r="F80" s="5"/>
      <c r="G80" s="5"/>
      <c r="H80" s="5"/>
      <c r="I80" s="5"/>
      <c r="J80" s="5"/>
      <c r="K80" s="5"/>
    </row>
    <row r="81" spans="2:11">
      <c r="B81" s="1460"/>
      <c r="C81" s="73"/>
      <c r="D81" s="36" t="s">
        <v>231</v>
      </c>
      <c r="E81" s="5"/>
      <c r="F81" s="5"/>
      <c r="G81" s="5"/>
      <c r="H81" s="5"/>
      <c r="I81" s="5"/>
      <c r="J81" s="5"/>
      <c r="K81" s="5"/>
    </row>
    <row r="82" spans="2:11">
      <c r="B82" s="1460"/>
      <c r="C82" s="73"/>
      <c r="D82" s="36" t="s">
        <v>232</v>
      </c>
      <c r="E82" s="5"/>
      <c r="F82" s="5"/>
      <c r="G82" s="5"/>
      <c r="H82" s="5"/>
      <c r="I82" s="5"/>
      <c r="J82" s="5"/>
      <c r="K82" s="5"/>
    </row>
    <row r="83" spans="2:11">
      <c r="B83" s="1460"/>
      <c r="C83" s="73"/>
      <c r="D83" s="36" t="s">
        <v>233</v>
      </c>
      <c r="E83" s="5"/>
      <c r="F83" s="5"/>
      <c r="G83" s="5"/>
      <c r="H83" s="5"/>
      <c r="I83" s="5"/>
      <c r="J83" s="5"/>
      <c r="K83" s="5"/>
    </row>
    <row r="84" spans="2:11">
      <c r="B84" s="1460"/>
      <c r="C84" s="73"/>
      <c r="D84" s="36" t="s">
        <v>98</v>
      </c>
      <c r="E84" s="5"/>
      <c r="F84" s="5"/>
      <c r="G84" s="5"/>
      <c r="H84" s="5"/>
      <c r="I84" s="5"/>
      <c r="J84" s="5"/>
      <c r="K84" s="5"/>
    </row>
    <row r="85" spans="2:11" ht="60">
      <c r="B85" s="1460"/>
      <c r="C85" s="73"/>
      <c r="D85" s="44" t="s">
        <v>234</v>
      </c>
      <c r="E85" s="5"/>
      <c r="F85" s="5"/>
      <c r="G85" s="5"/>
      <c r="H85" s="5"/>
      <c r="I85" s="5"/>
      <c r="J85" s="5"/>
      <c r="K85" s="5"/>
    </row>
    <row r="86" spans="2:11">
      <c r="B86" s="1460"/>
      <c r="C86" s="73"/>
      <c r="D86" s="43" t="s">
        <v>235</v>
      </c>
      <c r="E86" s="5"/>
      <c r="F86" s="5"/>
      <c r="G86" s="5"/>
      <c r="H86" s="5"/>
      <c r="I86" s="5"/>
      <c r="J86" s="5"/>
      <c r="K86" s="5"/>
    </row>
    <row r="87" spans="2:11">
      <c r="B87" s="1460"/>
      <c r="C87" s="73"/>
      <c r="D87" s="13"/>
      <c r="E87" s="5"/>
      <c r="F87" s="5"/>
      <c r="G87" s="5"/>
      <c r="H87" s="5"/>
      <c r="I87" s="5"/>
      <c r="J87" s="5"/>
      <c r="K87" s="5"/>
    </row>
    <row r="88" spans="2:11">
      <c r="B88" s="1460"/>
      <c r="C88" s="73"/>
      <c r="D88" s="36" t="s">
        <v>90</v>
      </c>
      <c r="E88" s="5"/>
      <c r="F88" s="5"/>
      <c r="G88" s="5"/>
      <c r="H88" s="5"/>
      <c r="I88" s="5"/>
      <c r="J88" s="5"/>
      <c r="K88" s="5"/>
    </row>
    <row r="89" spans="2:11" ht="38.4">
      <c r="B89" s="1460"/>
      <c r="C89" s="73"/>
      <c r="D89" s="36" t="s">
        <v>228</v>
      </c>
      <c r="E89" s="5"/>
      <c r="F89" s="5"/>
      <c r="G89" s="5"/>
      <c r="H89" s="5"/>
      <c r="I89" s="5"/>
      <c r="J89" s="5"/>
      <c r="K89" s="5"/>
    </row>
    <row r="90" spans="2:11" ht="26.4">
      <c r="B90" s="1460"/>
      <c r="C90" s="73"/>
      <c r="D90" s="36" t="s">
        <v>236</v>
      </c>
      <c r="E90" s="5"/>
      <c r="F90" s="5"/>
      <c r="G90" s="5"/>
      <c r="H90" s="5"/>
      <c r="I90" s="5"/>
      <c r="J90" s="5"/>
      <c r="K90" s="5"/>
    </row>
    <row r="91" spans="2:11">
      <c r="B91" s="1460"/>
      <c r="C91" s="73"/>
      <c r="D91" s="36" t="s">
        <v>237</v>
      </c>
      <c r="E91" s="5"/>
      <c r="F91" s="5"/>
      <c r="G91" s="5"/>
      <c r="H91" s="5"/>
      <c r="I91" s="5"/>
      <c r="J91" s="5"/>
      <c r="K91" s="5"/>
    </row>
    <row r="92" spans="2:11">
      <c r="B92" s="1460"/>
      <c r="C92" s="73"/>
      <c r="D92" s="43" t="s">
        <v>238</v>
      </c>
      <c r="E92" s="5"/>
      <c r="F92" s="5"/>
      <c r="G92" s="5"/>
      <c r="H92" s="5"/>
      <c r="I92" s="5"/>
      <c r="J92" s="5"/>
      <c r="K92" s="5"/>
    </row>
    <row r="93" spans="2:11">
      <c r="B93" s="1460"/>
      <c r="C93" s="73"/>
      <c r="D93" s="13"/>
      <c r="E93" s="5"/>
      <c r="F93" s="5"/>
      <c r="G93" s="5"/>
      <c r="H93" s="5"/>
      <c r="I93" s="5"/>
      <c r="J93" s="5"/>
      <c r="K93" s="5"/>
    </row>
    <row r="94" spans="2:11">
      <c r="B94" s="1460"/>
      <c r="C94" s="73"/>
      <c r="D94" s="36" t="s">
        <v>90</v>
      </c>
      <c r="E94" s="5"/>
      <c r="F94" s="5"/>
      <c r="G94" s="5"/>
      <c r="H94" s="5"/>
      <c r="I94" s="5"/>
      <c r="J94" s="5"/>
      <c r="K94" s="5"/>
    </row>
    <row r="95" spans="2:11" ht="26.4">
      <c r="B95" s="1460"/>
      <c r="C95" s="73"/>
      <c r="D95" s="36" t="s">
        <v>229</v>
      </c>
      <c r="E95" s="5"/>
      <c r="F95" s="5"/>
      <c r="G95" s="5"/>
      <c r="H95" s="5"/>
      <c r="I95" s="5"/>
      <c r="J95" s="5"/>
      <c r="K95" s="5"/>
    </row>
    <row r="96" spans="2:11" ht="26.4">
      <c r="B96" s="1460"/>
      <c r="C96" s="73"/>
      <c r="D96" s="36" t="s">
        <v>239</v>
      </c>
      <c r="E96" s="5"/>
      <c r="F96" s="5"/>
      <c r="G96" s="5"/>
      <c r="H96" s="5"/>
      <c r="I96" s="5"/>
      <c r="J96" s="5"/>
      <c r="K96" s="5"/>
    </row>
    <row r="97" spans="2:11">
      <c r="B97" s="1460"/>
      <c r="C97" s="73"/>
      <c r="D97" s="36" t="s">
        <v>240</v>
      </c>
      <c r="E97" s="5"/>
      <c r="F97" s="5"/>
      <c r="G97" s="5"/>
      <c r="H97" s="5"/>
      <c r="I97" s="5"/>
      <c r="J97" s="5"/>
      <c r="K97" s="5"/>
    </row>
    <row r="98" spans="2:11">
      <c r="B98" s="1460"/>
      <c r="C98" s="73"/>
      <c r="D98" s="43" t="s">
        <v>241</v>
      </c>
      <c r="E98" s="5"/>
      <c r="F98" s="5"/>
      <c r="G98" s="5"/>
      <c r="H98" s="5"/>
      <c r="I98" s="5"/>
      <c r="J98" s="5"/>
      <c r="K98" s="5"/>
    </row>
    <row r="99" spans="2:11">
      <c r="B99" s="1460"/>
      <c r="C99" s="73"/>
      <c r="D99" s="13"/>
      <c r="E99" s="5"/>
      <c r="F99" s="5"/>
      <c r="G99" s="5"/>
      <c r="H99" s="5"/>
      <c r="I99" s="5"/>
      <c r="J99" s="5"/>
      <c r="K99" s="5"/>
    </row>
    <row r="100" spans="2:11">
      <c r="B100" s="1460"/>
      <c r="C100" s="73"/>
      <c r="D100" s="36" t="s">
        <v>90</v>
      </c>
      <c r="E100" s="5"/>
      <c r="F100" s="5"/>
      <c r="G100" s="5"/>
      <c r="H100" s="5"/>
      <c r="I100" s="5"/>
      <c r="J100" s="5"/>
      <c r="K100" s="5"/>
    </row>
    <row r="101" spans="2:11" ht="26.4">
      <c r="B101" s="1460"/>
      <c r="C101" s="73"/>
      <c r="D101" s="36" t="s">
        <v>242</v>
      </c>
      <c r="E101" s="5"/>
      <c r="F101" s="5"/>
      <c r="G101" s="5"/>
      <c r="H101" s="5"/>
      <c r="I101" s="5"/>
      <c r="J101" s="5"/>
      <c r="K101" s="5"/>
    </row>
    <row r="102" spans="2:11">
      <c r="B102" s="1460"/>
      <c r="C102" s="73"/>
      <c r="D102" s="36" t="s">
        <v>243</v>
      </c>
      <c r="E102" s="5"/>
      <c r="F102" s="5"/>
      <c r="G102" s="5"/>
      <c r="H102" s="5"/>
      <c r="I102" s="5"/>
      <c r="J102" s="5"/>
      <c r="K102" s="5"/>
    </row>
    <row r="103" spans="2:11">
      <c r="B103" s="1460"/>
      <c r="C103" s="73"/>
      <c r="D103" s="36" t="s">
        <v>244</v>
      </c>
      <c r="E103" s="5"/>
      <c r="F103" s="5"/>
      <c r="G103" s="5"/>
      <c r="H103" s="5"/>
      <c r="I103" s="5"/>
      <c r="J103" s="5"/>
      <c r="K103" s="5"/>
    </row>
    <row r="104" spans="2:11">
      <c r="B104" s="1460"/>
      <c r="C104" s="73"/>
      <c r="D104" s="43" t="s">
        <v>245</v>
      </c>
      <c r="E104" s="5"/>
      <c r="F104" s="5"/>
      <c r="G104" s="5"/>
      <c r="H104" s="5"/>
      <c r="I104" s="5"/>
      <c r="J104" s="5"/>
      <c r="K104" s="5"/>
    </row>
    <row r="105" spans="2:11" ht="24">
      <c r="B105" s="1460"/>
      <c r="C105" s="73"/>
      <c r="D105" s="43" t="s">
        <v>246</v>
      </c>
      <c r="E105" s="5"/>
      <c r="F105" s="5"/>
      <c r="G105" s="5"/>
      <c r="H105" s="5"/>
      <c r="I105" s="5"/>
      <c r="J105" s="5"/>
      <c r="K105" s="5"/>
    </row>
    <row r="106" spans="2:11">
      <c r="B106" s="1460"/>
      <c r="C106" s="73"/>
      <c r="D106" s="36" t="s">
        <v>247</v>
      </c>
      <c r="E106" s="5"/>
      <c r="F106" s="5"/>
      <c r="G106" s="5"/>
      <c r="H106" s="5"/>
      <c r="I106" s="5"/>
      <c r="J106" s="5"/>
      <c r="K106" s="5"/>
    </row>
    <row r="107" spans="2:11">
      <c r="B107" s="1460"/>
      <c r="C107" s="73"/>
      <c r="D107" s="36" t="s">
        <v>90</v>
      </c>
      <c r="E107" s="5"/>
      <c r="F107" s="5"/>
      <c r="G107" s="5"/>
      <c r="H107" s="5"/>
      <c r="I107" s="5"/>
      <c r="J107" s="5"/>
      <c r="K107" s="5"/>
    </row>
    <row r="108" spans="2:11" ht="38.4">
      <c r="B108" s="1460"/>
      <c r="C108" s="73"/>
      <c r="D108" s="36" t="s">
        <v>248</v>
      </c>
      <c r="E108" s="5"/>
      <c r="F108" s="5"/>
      <c r="G108" s="5"/>
      <c r="H108" s="5"/>
      <c r="I108" s="5"/>
      <c r="J108" s="5"/>
      <c r="K108" s="5"/>
    </row>
    <row r="109" spans="2:11" ht="38.4">
      <c r="B109" s="1460"/>
      <c r="C109" s="73"/>
      <c r="D109" s="36" t="s">
        <v>249</v>
      </c>
      <c r="E109" s="5"/>
      <c r="F109" s="5"/>
      <c r="G109" s="5"/>
      <c r="H109" s="5"/>
      <c r="I109" s="5"/>
      <c r="J109" s="5"/>
      <c r="K109" s="5"/>
    </row>
    <row r="110" spans="2:11" ht="39" thickBot="1">
      <c r="B110" s="1461"/>
      <c r="C110" s="2"/>
      <c r="D110" s="32" t="s">
        <v>250</v>
      </c>
      <c r="E110" s="5"/>
      <c r="F110" s="5"/>
      <c r="G110" s="5"/>
      <c r="H110" s="5"/>
      <c r="I110" s="5"/>
      <c r="J110" s="5"/>
      <c r="K110" s="5"/>
    </row>
  </sheetData>
  <sheetProtection insertRows="0"/>
  <mergeCells count="28">
    <mergeCell ref="B76:B110"/>
    <mergeCell ref="B51:B57"/>
    <mergeCell ref="B59:F59"/>
    <mergeCell ref="B10:D10"/>
    <mergeCell ref="F10:S10"/>
    <mergeCell ref="F11:S11"/>
    <mergeCell ref="E12:R12"/>
    <mergeCell ref="E13:R13"/>
    <mergeCell ref="D37:K37"/>
    <mergeCell ref="B15:B26"/>
    <mergeCell ref="B64:D64"/>
    <mergeCell ref="B66:B72"/>
    <mergeCell ref="B74:B75"/>
    <mergeCell ref="D15:K15"/>
    <mergeCell ref="D16:K16"/>
    <mergeCell ref="D28:K28"/>
    <mergeCell ref="B42:B48"/>
    <mergeCell ref="B50:E50"/>
    <mergeCell ref="D29:K29"/>
    <mergeCell ref="D30:K30"/>
    <mergeCell ref="D38:K38"/>
    <mergeCell ref="D39:K39"/>
    <mergeCell ref="B41:E41"/>
    <mergeCell ref="A1:P1"/>
    <mergeCell ref="A2:P2"/>
    <mergeCell ref="A3:P3"/>
    <mergeCell ref="A4:D4"/>
    <mergeCell ref="A5:P5"/>
  </mergeCells>
  <conditionalFormatting sqref="E12:R12">
    <cfRule type="expression" dxfId="103" priority="1">
      <formula>E11="SI SE REPORTA"</formula>
    </cfRule>
  </conditionalFormatting>
  <conditionalFormatting sqref="F10">
    <cfRule type="notContainsBlanks" dxfId="102" priority="4">
      <formula>LEN(TRIM(F10))&gt;0</formula>
    </cfRule>
  </conditionalFormatting>
  <conditionalFormatting sqref="F11:S11">
    <cfRule type="expression" dxfId="101" priority="2">
      <formula>E11="NO SE REPORTA"</formula>
    </cfRule>
    <cfRule type="expression" dxfId="100" priority="3">
      <formula>E10="NO APLICA"</formula>
    </cfRule>
  </conditionalFormatting>
  <dataValidations count="5">
    <dataValidation type="whole" operator="greaterThanOrEqual" allowBlank="1" showErrorMessage="1" errorTitle="ERROR" error="Escriba un número igual o mayor que 0" promptTitle="ERROR" prompt="Escriba un número igual o mayor que 0" sqref="E18:H23" xr:uid="{00000000-0002-0000-0A00-000000000000}">
      <formula1>0</formula1>
    </dataValidation>
    <dataValidation type="list" allowBlank="1" showInputMessage="1" showErrorMessage="1" sqref="E11" xr:uid="{00000000-0002-0000-0A00-000001000000}">
      <formula1>REPORTE</formula1>
    </dataValidation>
    <dataValidation type="list" allowBlank="1" showInputMessage="1" showErrorMessage="1" sqref="E10" xr:uid="{00000000-0002-0000-0A00-000002000000}">
      <formula1>SI</formula1>
    </dataValidation>
    <dataValidation type="whole" operator="greaterThanOrEqual" allowBlank="1" showInputMessage="1" showErrorMessage="1" errorTitle="ERROR" error="Valor en PESOS (sin centavos)" sqref="F32:I35" xr:uid="{00000000-0002-0000-0A00-000003000000}">
      <formula1>0</formula1>
    </dataValidation>
    <dataValidation type="textLength" allowBlank="1" showInputMessage="1" showErrorMessage="1" errorTitle="ERROR" error="Escriba POMCA, PMM o PMA" promptTitle="ESCRIBA" prompt="POMCA, PMA o PMM" sqref="E32:E35" xr:uid="{00000000-0002-0000-0A00-000004000000}">
      <formula1>1</formula1>
      <formula2>5</formula2>
    </dataValidation>
  </dataValidations>
  <hyperlinks>
    <hyperlink ref="B9" location="'ANEXO 3'!A1" display="VOLVER AL INDICE" xr:uid="{00000000-0004-0000-0A00-000000000000}"/>
    <hyperlink ref="E46" r:id="rId1" xr:uid="{00000000-0004-0000-0A00-000001000000}"/>
  </hyperlinks>
  <pageMargins left="0.25" right="0.25" top="0.75" bottom="0.75" header="0.3" footer="0.3"/>
  <pageSetup paperSize="178" orientation="landscape" horizontalDpi="1200" verticalDpi="1200"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7">
    <tabColor theme="0"/>
  </sheetPr>
  <dimension ref="A1:U82"/>
  <sheetViews>
    <sheetView showGridLines="0" topLeftCell="A19" zoomScale="98" zoomScaleNormal="98" workbookViewId="0">
      <selection activeCell="G23" sqref="G23:H23"/>
    </sheetView>
  </sheetViews>
  <sheetFormatPr baseColWidth="10" defaultRowHeight="14.4"/>
  <cols>
    <col min="1" max="1" width="1.88671875" customWidth="1"/>
    <col min="2" max="2" width="12.88671875" customWidth="1"/>
    <col min="3" max="3" width="5" style="66" bestFit="1" customWidth="1"/>
    <col min="4" max="4" width="44.109375" customWidth="1"/>
    <col min="5" max="5" width="24.5546875" customWidth="1"/>
    <col min="6" max="6" width="22.88671875" customWidth="1"/>
    <col min="7" max="7" width="17.33203125" customWidth="1"/>
    <col min="8" max="8" width="23.109375" customWidth="1"/>
  </cols>
  <sheetData>
    <row r="1" spans="1:21" s="314" customFormat="1" ht="100.5" customHeight="1" thickBot="1">
      <c r="A1" s="1421"/>
      <c r="B1" s="1422"/>
      <c r="C1" s="1422"/>
      <c r="D1" s="1422"/>
      <c r="E1" s="1422"/>
      <c r="F1" s="1422"/>
      <c r="G1" s="1422"/>
      <c r="H1" s="1422"/>
      <c r="I1" s="1422"/>
      <c r="J1" s="1422"/>
      <c r="K1" s="1422"/>
      <c r="L1" s="1422"/>
      <c r="M1" s="1422"/>
      <c r="N1" s="1422"/>
      <c r="O1" s="1422"/>
      <c r="P1" s="1423"/>
      <c r="Q1"/>
      <c r="R1"/>
    </row>
    <row r="2" spans="1:21" s="315" customFormat="1" ht="27" customHeight="1" thickBot="1">
      <c r="A2" s="1418" t="str">
        <f>+'Datos Generales'!C5</f>
        <v>Corporación Autónoma Regional del Atlántico – CRA</v>
      </c>
      <c r="B2" s="1419"/>
      <c r="C2" s="1419"/>
      <c r="D2" s="1419"/>
      <c r="E2" s="1419"/>
      <c r="F2" s="1419"/>
      <c r="G2" s="1419"/>
      <c r="H2" s="1419"/>
      <c r="I2" s="1419"/>
      <c r="J2" s="1419"/>
      <c r="K2" s="1419"/>
      <c r="L2" s="1419"/>
      <c r="M2" s="1419"/>
      <c r="N2" s="1419"/>
      <c r="O2" s="1419"/>
      <c r="P2" s="1420"/>
      <c r="Q2"/>
      <c r="R2"/>
    </row>
    <row r="3" spans="1:21" s="315" customFormat="1" ht="21.75" customHeight="1" thickBot="1">
      <c r="A3" s="1426" t="s">
        <v>1295</v>
      </c>
      <c r="B3" s="1427"/>
      <c r="C3" s="1427"/>
      <c r="D3" s="1427"/>
      <c r="E3" s="1427"/>
      <c r="F3" s="1427"/>
      <c r="G3" s="1427"/>
      <c r="H3" s="1427"/>
      <c r="I3" s="1427"/>
      <c r="J3" s="1427"/>
      <c r="K3" s="1427"/>
      <c r="L3" s="1427"/>
      <c r="M3" s="1427"/>
      <c r="N3" s="1427"/>
      <c r="O3" s="1427"/>
      <c r="P3" s="1428"/>
      <c r="Q3"/>
      <c r="R3"/>
    </row>
    <row r="4" spans="1:21" s="315" customFormat="1" ht="16.2" thickBot="1">
      <c r="A4" s="1424" t="s">
        <v>1294</v>
      </c>
      <c r="B4" s="1425"/>
      <c r="C4" s="1425"/>
      <c r="D4" s="1425"/>
      <c r="E4" s="322" t="str">
        <f>+'Datos Generales'!C6</f>
        <v>2023-II</v>
      </c>
      <c r="F4" s="322"/>
      <c r="G4" s="322"/>
      <c r="H4" s="322"/>
      <c r="I4" s="322"/>
      <c r="J4" s="322"/>
      <c r="K4" s="322"/>
      <c r="L4" s="323"/>
      <c r="M4" s="323"/>
      <c r="N4" s="323"/>
      <c r="O4" s="323"/>
      <c r="P4" s="324"/>
      <c r="Q4"/>
      <c r="R4"/>
    </row>
    <row r="5" spans="1:21" ht="16.5" customHeight="1" thickBot="1">
      <c r="A5" s="1426" t="s">
        <v>279</v>
      </c>
      <c r="B5" s="1427"/>
      <c r="C5" s="1427"/>
      <c r="D5" s="1427"/>
      <c r="E5" s="1427"/>
      <c r="F5" s="1427"/>
      <c r="G5" s="1427"/>
      <c r="H5" s="1427"/>
      <c r="I5" s="1427"/>
      <c r="J5" s="1427"/>
      <c r="K5" s="1427"/>
      <c r="L5" s="1427"/>
      <c r="M5" s="1427"/>
      <c r="N5" s="1427"/>
      <c r="O5" s="1427"/>
      <c r="P5" s="1428"/>
    </row>
    <row r="6" spans="1:21">
      <c r="B6" s="1" t="s">
        <v>1</v>
      </c>
      <c r="C6" s="64"/>
      <c r="D6" s="5"/>
      <c r="E6" s="62"/>
      <c r="F6" s="5" t="s">
        <v>127</v>
      </c>
      <c r="G6" s="5"/>
      <c r="H6" s="5"/>
      <c r="I6" s="5"/>
      <c r="J6" s="5"/>
      <c r="K6" s="5"/>
    </row>
    <row r="7" spans="1:21" ht="15" thickBot="1">
      <c r="B7" s="63"/>
      <c r="C7" s="65"/>
      <c r="D7" s="5"/>
      <c r="E7" s="14"/>
      <c r="F7" s="5" t="s">
        <v>128</v>
      </c>
      <c r="G7" s="5"/>
      <c r="H7" s="5"/>
      <c r="I7" s="5"/>
      <c r="J7" s="5"/>
      <c r="K7" s="5"/>
    </row>
    <row r="8" spans="1:21" ht="20.25" customHeight="1" thickBot="1">
      <c r="B8" s="144" t="s">
        <v>1180</v>
      </c>
      <c r="C8" s="571">
        <v>2023</v>
      </c>
      <c r="D8" s="171">
        <f>IF(E10="NO APLICA","NO APLICA",IF(E11="NO SE REPORTA","SIN INFORMACION",+H19))</f>
        <v>1</v>
      </c>
      <c r="E8" s="168"/>
      <c r="F8" s="5" t="s">
        <v>129</v>
      </c>
      <c r="G8" s="5"/>
      <c r="H8" s="5"/>
      <c r="I8" s="5"/>
      <c r="J8" s="5"/>
      <c r="K8" s="5"/>
    </row>
    <row r="9" spans="1:21">
      <c r="B9" s="300" t="s">
        <v>1181</v>
      </c>
      <c r="D9" s="5"/>
      <c r="E9" s="5"/>
      <c r="F9" s="5"/>
      <c r="G9" s="5"/>
      <c r="H9" s="5"/>
      <c r="I9" s="5"/>
      <c r="J9" s="5"/>
      <c r="K9" s="5"/>
    </row>
    <row r="10" spans="1:21">
      <c r="B10" s="1429" t="s">
        <v>1236</v>
      </c>
      <c r="C10" s="1429"/>
      <c r="D10" s="1429"/>
      <c r="E10" s="303" t="s">
        <v>1233</v>
      </c>
      <c r="F10" s="1436"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437"/>
      <c r="H10" s="1437"/>
      <c r="I10" s="1437"/>
      <c r="J10" s="1437"/>
      <c r="K10" s="1437"/>
      <c r="L10" s="1437"/>
      <c r="M10" s="1437"/>
      <c r="N10" s="1437"/>
      <c r="O10" s="1437"/>
      <c r="P10" s="1437"/>
      <c r="Q10" s="1437"/>
      <c r="R10" s="1437"/>
      <c r="S10" s="1437"/>
      <c r="T10" s="5"/>
      <c r="U10" s="5"/>
    </row>
    <row r="11" spans="1:21" ht="14.4" customHeight="1">
      <c r="B11" s="302"/>
      <c r="C11" s="67"/>
      <c r="D11" s="144" t="str">
        <f>IF(E10="SI APLICA","¿El indicador no se reporta por limitaciones de información disponible? ","")</f>
        <v xml:space="preserve">¿El indicador no se reporta por limitaciones de información disponible? </v>
      </c>
      <c r="E11" s="304" t="s">
        <v>1235</v>
      </c>
      <c r="F11" s="1430"/>
      <c r="G11" s="1431"/>
      <c r="H11" s="1431"/>
      <c r="I11" s="1431"/>
      <c r="J11" s="1431"/>
      <c r="K11" s="1431"/>
      <c r="L11" s="1431"/>
      <c r="M11" s="1431"/>
      <c r="N11" s="1431"/>
      <c r="O11" s="1431"/>
      <c r="P11" s="1431"/>
      <c r="Q11" s="1431"/>
      <c r="R11" s="1431"/>
      <c r="S11" s="1431"/>
    </row>
    <row r="12" spans="1:21" ht="48" customHeight="1">
      <c r="B12" s="300"/>
      <c r="C12" s="67"/>
      <c r="D12" s="144" t="str">
        <f>IF(E11="SI SE REPORTA","¿Qué programas o proyectos del Plan de Acción están asociados al indicador? ","")</f>
        <v xml:space="preserve">¿Qué programas o proyectos del Plan de Acción están asociados al indicador? </v>
      </c>
      <c r="E12" s="1432" t="s">
        <v>1922</v>
      </c>
      <c r="F12" s="1432"/>
      <c r="G12" s="1432"/>
      <c r="H12" s="1432"/>
      <c r="I12" s="1432"/>
      <c r="J12" s="1432"/>
      <c r="K12" s="1432"/>
      <c r="L12" s="1432"/>
      <c r="M12" s="1432"/>
      <c r="N12" s="1432"/>
      <c r="O12" s="1432"/>
      <c r="P12" s="1432"/>
      <c r="Q12" s="1432"/>
      <c r="R12" s="1432"/>
    </row>
    <row r="13" spans="1:21" ht="39.75" customHeight="1">
      <c r="B13" s="300"/>
      <c r="C13" s="67"/>
      <c r="D13" s="144" t="s">
        <v>1238</v>
      </c>
      <c r="E13" s="1433" t="s">
        <v>1982</v>
      </c>
      <c r="F13" s="1434"/>
      <c r="G13" s="1434"/>
      <c r="H13" s="1434"/>
      <c r="I13" s="1434"/>
      <c r="J13" s="1434"/>
      <c r="K13" s="1434"/>
      <c r="L13" s="1434"/>
      <c r="M13" s="1434"/>
      <c r="N13" s="1434"/>
      <c r="O13" s="1434"/>
      <c r="P13" s="1434"/>
      <c r="Q13" s="1434"/>
      <c r="R13" s="1435"/>
    </row>
    <row r="14" spans="1:21" ht="6.9" customHeight="1" thickBot="1">
      <c r="B14" s="300"/>
      <c r="D14" s="5"/>
      <c r="E14" s="5"/>
      <c r="F14" s="5"/>
      <c r="G14" s="5"/>
      <c r="H14" s="5"/>
      <c r="I14" s="5"/>
      <c r="J14" s="5"/>
      <c r="K14" s="5"/>
    </row>
    <row r="15" spans="1:21" ht="16.5" customHeight="1" thickTop="1" thickBot="1">
      <c r="B15" s="1561" t="s">
        <v>2</v>
      </c>
      <c r="C15" s="68"/>
      <c r="D15" s="1462" t="s">
        <v>3</v>
      </c>
      <c r="E15" s="1463"/>
      <c r="F15" s="1463"/>
      <c r="G15" s="1463"/>
      <c r="H15" s="1463"/>
      <c r="I15" s="1464"/>
      <c r="J15" s="5"/>
      <c r="K15" s="5"/>
    </row>
    <row r="16" spans="1:21" ht="15" thickBot="1">
      <c r="B16" s="1484"/>
      <c r="C16" s="73"/>
      <c r="D16" s="34" t="s">
        <v>149</v>
      </c>
      <c r="E16" s="69" t="s">
        <v>19</v>
      </c>
      <c r="F16" s="69" t="s">
        <v>20</v>
      </c>
      <c r="G16" s="69" t="s">
        <v>21</v>
      </c>
      <c r="H16" s="69" t="s">
        <v>22</v>
      </c>
      <c r="I16" s="211"/>
      <c r="J16" s="5"/>
      <c r="K16" s="5"/>
    </row>
    <row r="17" spans="2:11" ht="55.5" customHeight="1" thickBot="1">
      <c r="B17" s="1484"/>
      <c r="C17" s="73"/>
      <c r="D17" s="212" t="s">
        <v>304</v>
      </c>
      <c r="E17" s="441">
        <v>23</v>
      </c>
      <c r="F17" s="441">
        <v>23</v>
      </c>
      <c r="G17" s="441">
        <v>23</v>
      </c>
      <c r="H17" s="441">
        <v>23</v>
      </c>
      <c r="I17" s="209"/>
      <c r="J17" s="5"/>
      <c r="K17" s="5"/>
    </row>
    <row r="18" spans="2:11" ht="57" customHeight="1" thickBot="1">
      <c r="B18" s="1484"/>
      <c r="C18" s="73"/>
      <c r="D18" s="212" t="s">
        <v>305</v>
      </c>
      <c r="E18" s="441">
        <v>23</v>
      </c>
      <c r="F18" s="441">
        <v>23</v>
      </c>
      <c r="G18" s="441">
        <v>23</v>
      </c>
      <c r="H18" s="441">
        <v>23</v>
      </c>
      <c r="I18" s="209"/>
      <c r="J18" s="5"/>
      <c r="K18" s="5"/>
    </row>
    <row r="19" spans="2:11" ht="53.25" customHeight="1" thickBot="1">
      <c r="B19" s="1484"/>
      <c r="C19" s="73"/>
      <c r="D19" s="212" t="s">
        <v>306</v>
      </c>
      <c r="E19" s="490">
        <f>IFERROR(E18/E17,"N.A.")</f>
        <v>1</v>
      </c>
      <c r="F19" s="490">
        <f>IFERROR(F18/F17,"N.A.")</f>
        <v>1</v>
      </c>
      <c r="G19" s="490">
        <f>IFERROR(G18/G17,"N.A.")</f>
        <v>1</v>
      </c>
      <c r="H19" s="490">
        <f>IFERROR(H18/H17,"N.A.")</f>
        <v>1</v>
      </c>
      <c r="I19" s="192"/>
      <c r="J19" s="5"/>
      <c r="K19" s="5"/>
    </row>
    <row r="20" spans="2:11" ht="30" customHeight="1" thickBot="1">
      <c r="B20" s="1484"/>
      <c r="C20" s="71"/>
      <c r="D20" s="1450" t="s">
        <v>307</v>
      </c>
      <c r="E20" s="1451"/>
      <c r="F20" s="1451"/>
      <c r="G20" s="1451"/>
      <c r="H20" s="1451"/>
      <c r="I20" s="1452"/>
      <c r="J20" s="5"/>
      <c r="K20" s="5"/>
    </row>
    <row r="21" spans="2:11" ht="21" customHeight="1">
      <c r="B21" s="175"/>
      <c r="C21" s="1562" t="s">
        <v>18</v>
      </c>
      <c r="D21" s="1564" t="s">
        <v>308</v>
      </c>
      <c r="E21" s="1573" t="s">
        <v>312</v>
      </c>
      <c r="F21" s="1573" t="s">
        <v>309</v>
      </c>
      <c r="G21" s="1569" t="s">
        <v>54</v>
      </c>
      <c r="H21" s="1562"/>
      <c r="I21" s="17"/>
      <c r="J21" s="5"/>
      <c r="K21" s="5"/>
    </row>
    <row r="22" spans="2:11" ht="15" thickBot="1">
      <c r="B22" s="175"/>
      <c r="C22" s="1563"/>
      <c r="D22" s="1565"/>
      <c r="E22" s="1574"/>
      <c r="F22" s="1574"/>
      <c r="G22" s="1570"/>
      <c r="H22" s="1563"/>
      <c r="I22" s="17"/>
      <c r="J22" s="5"/>
      <c r="K22" s="5"/>
    </row>
    <row r="23" spans="2:11" s="151" customFormat="1" ht="79.5" customHeight="1" thickBot="1">
      <c r="B23" s="172"/>
      <c r="C23" s="458">
        <v>1</v>
      </c>
      <c r="D23" s="508" t="s">
        <v>1921</v>
      </c>
      <c r="E23" s="512">
        <v>23</v>
      </c>
      <c r="F23" s="508" t="s">
        <v>1833</v>
      </c>
      <c r="G23" s="1571" t="s">
        <v>1983</v>
      </c>
      <c r="H23" s="1572"/>
      <c r="I23" s="16"/>
      <c r="J23" s="15"/>
      <c r="K23" s="15"/>
    </row>
    <row r="24" spans="2:11" ht="36" customHeight="1" thickBot="1">
      <c r="B24" s="37" t="s">
        <v>33</v>
      </c>
      <c r="C24" s="72"/>
      <c r="D24" s="1462" t="s">
        <v>310</v>
      </c>
      <c r="E24" s="1463"/>
      <c r="F24" s="1463"/>
      <c r="G24" s="1463"/>
      <c r="H24" s="1463"/>
      <c r="I24" s="1464"/>
      <c r="J24" s="5"/>
      <c r="K24" s="5"/>
    </row>
    <row r="25" spans="2:11" ht="24.6" thickBot="1">
      <c r="B25" s="37" t="s">
        <v>35</v>
      </c>
      <c r="C25" s="72"/>
      <c r="D25" s="1462" t="s">
        <v>277</v>
      </c>
      <c r="E25" s="1463"/>
      <c r="F25" s="1463"/>
      <c r="G25" s="1463"/>
      <c r="H25" s="1463"/>
      <c r="I25" s="1464"/>
      <c r="J25" s="5"/>
      <c r="K25" s="5"/>
    </row>
    <row r="26" spans="2:11" ht="15" thickBot="1">
      <c r="B26" s="1"/>
      <c r="C26" s="64"/>
      <c r="D26" s="5"/>
      <c r="E26" s="5"/>
      <c r="F26" s="5"/>
      <c r="G26" s="5"/>
      <c r="H26" s="5"/>
      <c r="I26" s="5"/>
      <c r="J26" s="5"/>
      <c r="K26" s="5"/>
    </row>
    <row r="27" spans="2:11" ht="24" customHeight="1" thickBot="1">
      <c r="B27" s="1469" t="s">
        <v>37</v>
      </c>
      <c r="C27" s="1470"/>
      <c r="D27" s="1470"/>
      <c r="E27" s="1471"/>
      <c r="F27" s="5"/>
      <c r="G27" s="5"/>
      <c r="H27" s="5"/>
      <c r="I27" s="5"/>
      <c r="J27" s="5"/>
      <c r="K27" s="5"/>
    </row>
    <row r="28" spans="2:11" ht="15" thickBot="1">
      <c r="B28" s="1459">
        <v>1</v>
      </c>
      <c r="C28" s="73"/>
      <c r="D28" s="38" t="s">
        <v>38</v>
      </c>
      <c r="E28" s="25" t="s">
        <v>1814</v>
      </c>
      <c r="F28" s="5"/>
      <c r="G28" s="5"/>
      <c r="H28" s="5"/>
      <c r="I28" s="5"/>
      <c r="J28" s="5"/>
      <c r="K28" s="5"/>
    </row>
    <row r="29" spans="2:11" ht="15" thickBot="1">
      <c r="B29" s="1460"/>
      <c r="C29" s="73"/>
      <c r="D29" s="32" t="s">
        <v>39</v>
      </c>
      <c r="E29" s="24" t="s">
        <v>2006</v>
      </c>
      <c r="F29" s="5"/>
      <c r="G29" s="5"/>
      <c r="H29" s="5"/>
      <c r="I29" s="5"/>
      <c r="J29" s="5"/>
      <c r="K29" s="5"/>
    </row>
    <row r="30" spans="2:11" ht="15" thickBot="1">
      <c r="B30" s="1460"/>
      <c r="C30" s="73"/>
      <c r="D30" s="32" t="s">
        <v>40</v>
      </c>
      <c r="E30" s="25" t="s">
        <v>1821</v>
      </c>
      <c r="F30" s="5"/>
      <c r="G30" s="5"/>
      <c r="H30" s="5"/>
      <c r="I30" s="5"/>
      <c r="J30" s="5"/>
      <c r="K30" s="5"/>
    </row>
    <row r="31" spans="2:11" ht="15" thickBot="1">
      <c r="B31" s="1460"/>
      <c r="C31" s="73"/>
      <c r="D31" s="32" t="s">
        <v>41</v>
      </c>
      <c r="E31" s="25" t="s">
        <v>2052</v>
      </c>
      <c r="F31" s="5"/>
      <c r="G31" s="5"/>
      <c r="H31" s="5"/>
      <c r="I31" s="5"/>
      <c r="J31" s="5"/>
      <c r="K31" s="5"/>
    </row>
    <row r="32" spans="2:11" ht="15" thickBot="1">
      <c r="B32" s="1460"/>
      <c r="C32" s="73"/>
      <c r="D32" s="32" t="s">
        <v>42</v>
      </c>
      <c r="E32" s="507" t="s">
        <v>1816</v>
      </c>
      <c r="F32" s="5"/>
      <c r="G32" s="5"/>
      <c r="H32" s="5"/>
      <c r="I32" s="5"/>
      <c r="J32" s="5"/>
      <c r="K32" s="5"/>
    </row>
    <row r="33" spans="2:11" ht="15" thickBot="1">
      <c r="B33" s="1460"/>
      <c r="C33" s="73"/>
      <c r="D33" s="32" t="s">
        <v>43</v>
      </c>
      <c r="E33" s="133">
        <v>3686626</v>
      </c>
      <c r="F33" s="5"/>
      <c r="G33" s="5"/>
      <c r="H33" s="5"/>
      <c r="I33" s="5"/>
      <c r="J33" s="5"/>
      <c r="K33" s="5"/>
    </row>
    <row r="34" spans="2:11" ht="15" thickBot="1">
      <c r="B34" s="1461"/>
      <c r="C34" s="2"/>
      <c r="D34" s="32" t="s">
        <v>44</v>
      </c>
      <c r="E34" s="24" t="s">
        <v>1817</v>
      </c>
      <c r="F34" s="5"/>
      <c r="G34" s="5"/>
      <c r="H34" s="5"/>
      <c r="I34" s="5"/>
      <c r="J34" s="5"/>
      <c r="K34" s="5"/>
    </row>
    <row r="35" spans="2:11" ht="15" thickBot="1">
      <c r="B35" s="1"/>
      <c r="C35" s="64"/>
      <c r="D35" s="5"/>
      <c r="E35" s="5"/>
      <c r="F35" s="5"/>
      <c r="G35" s="5"/>
      <c r="H35" s="5"/>
      <c r="I35" s="5"/>
      <c r="J35" s="5"/>
      <c r="K35" s="5"/>
    </row>
    <row r="36" spans="2:11" ht="15" thickBot="1">
      <c r="B36" s="1469" t="s">
        <v>45</v>
      </c>
      <c r="C36" s="1470"/>
      <c r="D36" s="1470"/>
      <c r="E36" s="1471"/>
      <c r="F36" s="5"/>
      <c r="G36" s="5"/>
      <c r="H36" s="5"/>
      <c r="I36" s="5"/>
      <c r="J36" s="5"/>
      <c r="K36" s="5"/>
    </row>
    <row r="37" spans="2:11" ht="24.6" thickBot="1">
      <c r="B37" s="1459">
        <v>1</v>
      </c>
      <c r="C37" s="73"/>
      <c r="D37" s="38" t="s">
        <v>38</v>
      </c>
      <c r="E37" s="28" t="s">
        <v>46</v>
      </c>
      <c r="F37" s="5"/>
      <c r="G37" s="5"/>
      <c r="H37" s="5"/>
      <c r="I37" s="5"/>
      <c r="J37" s="5"/>
      <c r="K37" s="5"/>
    </row>
    <row r="38" spans="2:11" ht="36.6" thickBot="1">
      <c r="B38" s="1460"/>
      <c r="C38" s="73"/>
      <c r="D38" s="32" t="s">
        <v>39</v>
      </c>
      <c r="E38" s="28" t="s">
        <v>47</v>
      </c>
      <c r="F38" s="5"/>
      <c r="G38" s="5"/>
      <c r="H38" s="5"/>
      <c r="I38" s="5"/>
      <c r="J38" s="5"/>
      <c r="K38" s="5"/>
    </row>
    <row r="39" spans="2:11" ht="15" thickBot="1">
      <c r="B39" s="1460"/>
      <c r="C39" s="73"/>
      <c r="D39" s="32" t="s">
        <v>40</v>
      </c>
      <c r="E39" s="194"/>
      <c r="F39" s="5"/>
      <c r="G39" s="5"/>
      <c r="H39" s="5"/>
      <c r="I39" s="5"/>
      <c r="J39" s="5"/>
      <c r="K39" s="5"/>
    </row>
    <row r="40" spans="2:11" ht="15" thickBot="1">
      <c r="B40" s="1460"/>
      <c r="C40" s="73"/>
      <c r="D40" s="32" t="s">
        <v>41</v>
      </c>
      <c r="E40" s="194"/>
      <c r="F40" s="5"/>
      <c r="G40" s="5"/>
      <c r="H40" s="5"/>
      <c r="I40" s="5"/>
      <c r="J40" s="5"/>
      <c r="K40" s="5"/>
    </row>
    <row r="41" spans="2:11" ht="15" thickBot="1">
      <c r="B41" s="1460"/>
      <c r="C41" s="73"/>
      <c r="D41" s="32" t="s">
        <v>42</v>
      </c>
      <c r="E41" s="194"/>
      <c r="F41" s="5"/>
      <c r="G41" s="5"/>
      <c r="H41" s="5"/>
      <c r="I41" s="5"/>
      <c r="J41" s="5"/>
      <c r="K41" s="5"/>
    </row>
    <row r="42" spans="2:11" ht="15" thickBot="1">
      <c r="B42" s="1460"/>
      <c r="C42" s="73"/>
      <c r="D42" s="32" t="s">
        <v>43</v>
      </c>
      <c r="E42" s="194"/>
      <c r="F42" s="5"/>
      <c r="G42" s="5"/>
      <c r="H42" s="5"/>
      <c r="I42" s="5"/>
      <c r="J42" s="5"/>
      <c r="K42" s="5"/>
    </row>
    <row r="43" spans="2:11" ht="15" thickBot="1">
      <c r="B43" s="1461"/>
      <c r="C43" s="2"/>
      <c r="D43" s="32" t="s">
        <v>44</v>
      </c>
      <c r="E43" s="194"/>
      <c r="F43" s="5"/>
      <c r="G43" s="5"/>
      <c r="H43" s="5"/>
      <c r="I43" s="5"/>
      <c r="J43" s="5"/>
      <c r="K43" s="5"/>
    </row>
    <row r="44" spans="2:11" ht="15" thickBot="1">
      <c r="B44" s="1"/>
      <c r="C44" s="64"/>
      <c r="D44" s="5"/>
      <c r="E44" s="5"/>
      <c r="F44" s="5"/>
      <c r="G44" s="5"/>
      <c r="H44" s="5"/>
      <c r="I44" s="5"/>
      <c r="J44" s="5"/>
      <c r="K44" s="5"/>
    </row>
    <row r="45" spans="2:11" ht="15" customHeight="1" thickBot="1">
      <c r="B45" s="97" t="s">
        <v>48</v>
      </c>
      <c r="C45" s="98"/>
      <c r="D45" s="98"/>
      <c r="E45" s="99"/>
      <c r="G45" s="5"/>
      <c r="H45" s="5"/>
      <c r="I45" s="5"/>
      <c r="J45" s="5"/>
      <c r="K45" s="5"/>
    </row>
    <row r="46" spans="2:11" ht="24.6" thickBot="1">
      <c r="B46" s="37" t="s">
        <v>49</v>
      </c>
      <c r="C46" s="32" t="s">
        <v>50</v>
      </c>
      <c r="D46" s="32" t="s">
        <v>51</v>
      </c>
      <c r="E46" s="32" t="s">
        <v>52</v>
      </c>
      <c r="F46" s="5"/>
      <c r="G46" s="5"/>
      <c r="H46" s="5"/>
      <c r="I46" s="5"/>
      <c r="J46" s="5"/>
    </row>
    <row r="47" spans="2:11" ht="60.6" thickBot="1">
      <c r="B47" s="39">
        <v>42401</v>
      </c>
      <c r="C47" s="32">
        <v>0.01</v>
      </c>
      <c r="D47" s="58" t="s">
        <v>311</v>
      </c>
      <c r="E47" s="32"/>
      <c r="F47" s="5"/>
      <c r="G47" s="5"/>
      <c r="H47" s="5"/>
      <c r="I47" s="5"/>
      <c r="J47" s="5"/>
    </row>
    <row r="48" spans="2:11" ht="15" thickBot="1">
      <c r="B48" s="3"/>
      <c r="C48" s="74"/>
      <c r="D48" s="5"/>
      <c r="E48" s="5"/>
      <c r="F48" s="5"/>
      <c r="G48" s="5"/>
      <c r="H48" s="5"/>
      <c r="I48" s="5"/>
      <c r="J48" s="5"/>
      <c r="K48" s="5"/>
    </row>
    <row r="49" spans="2:11" ht="15" thickBot="1">
      <c r="B49" s="106" t="s">
        <v>54</v>
      </c>
      <c r="C49" s="75"/>
      <c r="D49" s="5"/>
      <c r="E49" s="5"/>
      <c r="F49" s="5"/>
      <c r="G49" s="5"/>
      <c r="H49" s="5"/>
      <c r="I49" s="5"/>
      <c r="J49" s="5"/>
      <c r="K49" s="5"/>
    </row>
    <row r="50" spans="2:11" ht="15" thickBot="1">
      <c r="B50" s="1566"/>
      <c r="C50" s="1567"/>
      <c r="D50" s="1567"/>
      <c r="E50" s="1568"/>
      <c r="F50" s="5"/>
      <c r="G50" s="5"/>
      <c r="H50" s="5"/>
      <c r="I50" s="5"/>
      <c r="J50" s="5"/>
      <c r="K50" s="5"/>
    </row>
    <row r="51" spans="2:11" ht="15" thickBot="1">
      <c r="B51" s="5"/>
      <c r="D51" s="5"/>
      <c r="E51" s="5"/>
      <c r="F51" s="5"/>
      <c r="G51" s="5"/>
      <c r="H51" s="5"/>
      <c r="I51" s="5"/>
      <c r="J51" s="5"/>
      <c r="K51" s="5"/>
    </row>
    <row r="52" spans="2:11" ht="15" thickBot="1">
      <c r="B52" s="1469" t="s">
        <v>55</v>
      </c>
      <c r="C52" s="1470"/>
      <c r="D52" s="1471"/>
      <c r="E52" s="5"/>
      <c r="F52" s="5"/>
      <c r="G52" s="5"/>
      <c r="H52" s="5"/>
      <c r="I52" s="5"/>
      <c r="J52" s="5"/>
      <c r="K52" s="5"/>
    </row>
    <row r="53" spans="2:11" ht="72.599999999999994" thickBot="1">
      <c r="B53" s="37" t="s">
        <v>56</v>
      </c>
      <c r="C53" s="2"/>
      <c r="D53" s="32" t="s">
        <v>280</v>
      </c>
      <c r="E53" s="5"/>
      <c r="F53" s="5"/>
      <c r="G53" s="5"/>
      <c r="H53" s="5"/>
      <c r="I53" s="5"/>
      <c r="J53" s="5"/>
      <c r="K53" s="5"/>
    </row>
    <row r="54" spans="2:11">
      <c r="B54" s="1459" t="s">
        <v>58</v>
      </c>
      <c r="C54" s="73"/>
      <c r="D54" s="43" t="s">
        <v>59</v>
      </c>
      <c r="E54" s="5"/>
      <c r="F54" s="5"/>
      <c r="G54" s="5"/>
      <c r="H54" s="5"/>
      <c r="I54" s="5"/>
      <c r="J54" s="5"/>
      <c r="K54" s="5"/>
    </row>
    <row r="55" spans="2:11" ht="60">
      <c r="B55" s="1460"/>
      <c r="C55" s="73"/>
      <c r="D55" s="36" t="s">
        <v>281</v>
      </c>
      <c r="E55" s="5"/>
      <c r="F55" s="5"/>
      <c r="G55" s="5"/>
      <c r="H55" s="5"/>
      <c r="I55" s="5"/>
      <c r="J55" s="5"/>
      <c r="K55" s="5"/>
    </row>
    <row r="56" spans="2:11" ht="48">
      <c r="B56" s="1460"/>
      <c r="C56" s="73"/>
      <c r="D56" s="36" t="s">
        <v>282</v>
      </c>
      <c r="E56" s="5"/>
      <c r="F56" s="5"/>
      <c r="G56" s="5"/>
      <c r="H56" s="5"/>
      <c r="I56" s="5"/>
      <c r="J56" s="5"/>
      <c r="K56" s="5"/>
    </row>
    <row r="57" spans="2:11">
      <c r="B57" s="1460"/>
      <c r="C57" s="73"/>
      <c r="D57" s="43" t="s">
        <v>62</v>
      </c>
      <c r="E57" s="5"/>
      <c r="F57" s="5"/>
      <c r="G57" s="5"/>
      <c r="H57" s="5"/>
      <c r="I57" s="5"/>
      <c r="J57" s="5"/>
      <c r="K57" s="5"/>
    </row>
    <row r="58" spans="2:11">
      <c r="B58" s="1460"/>
      <c r="C58" s="73"/>
      <c r="D58" s="36" t="s">
        <v>283</v>
      </c>
      <c r="E58" s="5"/>
      <c r="F58" s="5"/>
      <c r="G58" s="5"/>
      <c r="H58" s="5"/>
      <c r="I58" s="5"/>
      <c r="J58" s="5"/>
      <c r="K58" s="5"/>
    </row>
    <row r="59" spans="2:11" ht="36">
      <c r="B59" s="1460"/>
      <c r="C59" s="73"/>
      <c r="D59" s="36" t="s">
        <v>284</v>
      </c>
      <c r="E59" s="5"/>
      <c r="F59" s="5"/>
      <c r="G59" s="5"/>
      <c r="H59" s="5"/>
      <c r="I59" s="5"/>
      <c r="J59" s="5"/>
      <c r="K59" s="5"/>
    </row>
    <row r="60" spans="2:11">
      <c r="B60" s="1460"/>
      <c r="C60" s="73"/>
      <c r="D60" s="36" t="s">
        <v>285</v>
      </c>
      <c r="E60" s="5"/>
      <c r="F60" s="5"/>
      <c r="G60" s="5"/>
      <c r="H60" s="5"/>
      <c r="I60" s="5"/>
      <c r="J60" s="5"/>
      <c r="K60" s="5"/>
    </row>
    <row r="61" spans="2:11" ht="24">
      <c r="B61" s="1460"/>
      <c r="C61" s="73"/>
      <c r="D61" s="36" t="s">
        <v>286</v>
      </c>
      <c r="E61" s="5"/>
      <c r="F61" s="5"/>
      <c r="G61" s="5"/>
      <c r="H61" s="5"/>
      <c r="I61" s="5"/>
      <c r="J61" s="5"/>
      <c r="K61" s="5"/>
    </row>
    <row r="62" spans="2:11">
      <c r="B62" s="1460"/>
      <c r="C62" s="73"/>
      <c r="D62" s="43" t="s">
        <v>287</v>
      </c>
      <c r="E62" s="5"/>
      <c r="F62" s="5"/>
      <c r="G62" s="5"/>
      <c r="H62" s="5"/>
      <c r="I62" s="5"/>
      <c r="J62" s="5"/>
      <c r="K62" s="5"/>
    </row>
    <row r="63" spans="2:11">
      <c r="B63" s="1460"/>
      <c r="C63" s="73"/>
      <c r="D63" s="36" t="s">
        <v>288</v>
      </c>
      <c r="E63" s="5"/>
      <c r="F63" s="5"/>
      <c r="G63" s="5"/>
      <c r="H63" s="5"/>
      <c r="I63" s="5"/>
      <c r="J63" s="5"/>
      <c r="K63" s="5"/>
    </row>
    <row r="64" spans="2:11" ht="24">
      <c r="B64" s="1460"/>
      <c r="C64" s="73"/>
      <c r="D64" s="36" t="s">
        <v>289</v>
      </c>
      <c r="E64" s="5"/>
      <c r="F64" s="5"/>
      <c r="G64" s="5"/>
      <c r="H64" s="5"/>
      <c r="I64" s="5"/>
      <c r="J64" s="5"/>
      <c r="K64" s="5"/>
    </row>
    <row r="65" spans="2:11" ht="29.4" thickBot="1">
      <c r="B65" s="1461"/>
      <c r="C65" s="2"/>
      <c r="D65" s="213" t="s">
        <v>290</v>
      </c>
      <c r="E65" s="5"/>
      <c r="F65" s="5"/>
      <c r="G65" s="5"/>
      <c r="H65" s="5"/>
      <c r="I65" s="5"/>
      <c r="J65" s="5"/>
      <c r="K65" s="5"/>
    </row>
    <row r="66" spans="2:11" ht="24.6" thickBot="1">
      <c r="B66" s="37" t="s">
        <v>71</v>
      </c>
      <c r="C66" s="2"/>
      <c r="D66" s="32"/>
      <c r="E66" s="5"/>
      <c r="F66" s="5"/>
      <c r="G66" s="5"/>
      <c r="H66" s="5"/>
      <c r="I66" s="5"/>
      <c r="J66" s="5"/>
      <c r="K66" s="5"/>
    </row>
    <row r="67" spans="2:11" ht="144">
      <c r="B67" s="1459" t="s">
        <v>72</v>
      </c>
      <c r="C67" s="73"/>
      <c r="D67" s="36" t="s">
        <v>291</v>
      </c>
      <c r="E67" s="5"/>
      <c r="F67" s="5"/>
      <c r="G67" s="5"/>
      <c r="H67" s="5"/>
      <c r="I67" s="5"/>
      <c r="J67" s="5"/>
      <c r="K67" s="5"/>
    </row>
    <row r="68" spans="2:11" ht="120">
      <c r="B68" s="1460"/>
      <c r="C68" s="73"/>
      <c r="D68" s="36" t="s">
        <v>292</v>
      </c>
      <c r="E68" s="5"/>
      <c r="F68" s="5"/>
      <c r="G68" s="5"/>
      <c r="H68" s="5"/>
      <c r="I68" s="5"/>
      <c r="J68" s="5"/>
      <c r="K68" s="5"/>
    </row>
    <row r="69" spans="2:11" ht="48">
      <c r="B69" s="1460"/>
      <c r="C69" s="73"/>
      <c r="D69" s="36" t="s">
        <v>293</v>
      </c>
      <c r="E69" s="5"/>
      <c r="F69" s="5"/>
      <c r="G69" s="5"/>
      <c r="H69" s="5"/>
      <c r="I69" s="5"/>
      <c r="J69" s="5"/>
      <c r="K69" s="5"/>
    </row>
    <row r="70" spans="2:11">
      <c r="B70" s="1460"/>
      <c r="C70" s="73"/>
      <c r="D70" s="36" t="s">
        <v>294</v>
      </c>
      <c r="E70" s="5"/>
      <c r="F70" s="5"/>
      <c r="G70" s="5"/>
      <c r="H70" s="5"/>
      <c r="I70" s="5"/>
      <c r="J70" s="5"/>
      <c r="K70" s="5"/>
    </row>
    <row r="71" spans="2:11" ht="48">
      <c r="B71" s="1460"/>
      <c r="C71" s="73"/>
      <c r="D71" s="51" t="s">
        <v>295</v>
      </c>
      <c r="E71" s="5"/>
      <c r="F71" s="5"/>
      <c r="G71" s="5"/>
      <c r="H71" s="5"/>
      <c r="I71" s="5"/>
      <c r="J71" s="5"/>
      <c r="K71" s="5"/>
    </row>
    <row r="72" spans="2:11" ht="60">
      <c r="B72" s="1460"/>
      <c r="C72" s="73"/>
      <c r="D72" s="51" t="s">
        <v>296</v>
      </c>
      <c r="E72" s="5"/>
      <c r="F72" s="5"/>
      <c r="G72" s="5"/>
      <c r="H72" s="5"/>
      <c r="I72" s="5"/>
      <c r="J72" s="5"/>
      <c r="K72" s="5"/>
    </row>
    <row r="73" spans="2:11" ht="36">
      <c r="B73" s="1460"/>
      <c r="C73" s="73"/>
      <c r="D73" s="51" t="s">
        <v>297</v>
      </c>
      <c r="E73" s="5"/>
      <c r="F73" s="5"/>
      <c r="G73" s="5"/>
      <c r="H73" s="5"/>
      <c r="I73" s="5"/>
      <c r="J73" s="5"/>
      <c r="K73" s="5"/>
    </row>
    <row r="74" spans="2:11" ht="24">
      <c r="B74" s="1460"/>
      <c r="C74" s="73"/>
      <c r="D74" s="51" t="s">
        <v>298</v>
      </c>
      <c r="E74" s="5"/>
      <c r="F74" s="5"/>
      <c r="G74" s="5"/>
      <c r="H74" s="5"/>
      <c r="I74" s="5"/>
      <c r="J74" s="5"/>
      <c r="K74" s="5"/>
    </row>
    <row r="75" spans="2:11" ht="36">
      <c r="B75" s="1460"/>
      <c r="C75" s="73"/>
      <c r="D75" s="51" t="s">
        <v>299</v>
      </c>
      <c r="E75" s="5"/>
      <c r="F75" s="5"/>
      <c r="G75" s="5"/>
      <c r="H75" s="5"/>
      <c r="I75" s="5"/>
      <c r="J75" s="5"/>
      <c r="K75" s="5"/>
    </row>
    <row r="76" spans="2:11" ht="36.6" thickBot="1">
      <c r="B76" s="1461"/>
      <c r="C76" s="2"/>
      <c r="D76" s="52" t="s">
        <v>300</v>
      </c>
      <c r="E76" s="5"/>
      <c r="F76" s="5"/>
      <c r="G76" s="5"/>
      <c r="H76" s="5"/>
      <c r="I76" s="5"/>
      <c r="J76" s="5"/>
      <c r="K76" s="5"/>
    </row>
    <row r="77" spans="2:11">
      <c r="B77" s="1459" t="s">
        <v>89</v>
      </c>
      <c r="C77" s="73"/>
      <c r="D77" s="36"/>
      <c r="E77" s="5"/>
      <c r="F77" s="5"/>
      <c r="G77" s="5"/>
      <c r="H77" s="5"/>
      <c r="I77" s="5"/>
      <c r="J77" s="5"/>
      <c r="K77" s="5"/>
    </row>
    <row r="78" spans="2:11">
      <c r="B78" s="1460"/>
      <c r="C78" s="73"/>
      <c r="D78" s="13"/>
      <c r="E78" s="5"/>
      <c r="F78" s="5"/>
      <c r="G78" s="5"/>
      <c r="H78" s="5"/>
      <c r="I78" s="5"/>
      <c r="J78" s="5"/>
      <c r="K78" s="5"/>
    </row>
    <row r="79" spans="2:11">
      <c r="B79" s="1460"/>
      <c r="C79" s="73"/>
      <c r="D79" s="36" t="s">
        <v>90</v>
      </c>
      <c r="E79" s="5"/>
      <c r="F79" s="5"/>
      <c r="G79" s="5"/>
      <c r="H79" s="5"/>
      <c r="I79" s="5"/>
      <c r="J79" s="5"/>
      <c r="K79" s="5"/>
    </row>
    <row r="80" spans="2:11" ht="50.4">
      <c r="B80" s="1460"/>
      <c r="C80" s="73"/>
      <c r="D80" s="36" t="s">
        <v>301</v>
      </c>
      <c r="E80" s="5"/>
      <c r="F80" s="5"/>
      <c r="G80" s="5"/>
      <c r="H80" s="5"/>
      <c r="I80" s="5"/>
      <c r="J80" s="5"/>
      <c r="K80" s="5"/>
    </row>
    <row r="81" spans="2:11" ht="50.4">
      <c r="B81" s="1460"/>
      <c r="C81" s="73"/>
      <c r="D81" s="36" t="s">
        <v>302</v>
      </c>
      <c r="E81" s="5"/>
      <c r="F81" s="5"/>
      <c r="G81" s="5"/>
      <c r="H81" s="5"/>
      <c r="I81" s="5"/>
      <c r="J81" s="5"/>
      <c r="K81" s="5"/>
    </row>
    <row r="82" spans="2:11" ht="51" thickBot="1">
      <c r="B82" s="1461"/>
      <c r="C82" s="2"/>
      <c r="D82" s="32" t="s">
        <v>303</v>
      </c>
      <c r="E82" s="5"/>
      <c r="F82" s="5"/>
      <c r="G82" s="5"/>
      <c r="H82" s="5"/>
      <c r="I82" s="5"/>
      <c r="J82" s="5"/>
      <c r="K82" s="5"/>
    </row>
  </sheetData>
  <mergeCells count="30">
    <mergeCell ref="D15:I15"/>
    <mergeCell ref="D20:I20"/>
    <mergeCell ref="E21:E22"/>
    <mergeCell ref="B15:B20"/>
    <mergeCell ref="F21:F22"/>
    <mergeCell ref="B10:D10"/>
    <mergeCell ref="F10:S10"/>
    <mergeCell ref="F11:S11"/>
    <mergeCell ref="E12:R12"/>
    <mergeCell ref="E13:R13"/>
    <mergeCell ref="B52:D52"/>
    <mergeCell ref="B54:B65"/>
    <mergeCell ref="B67:B76"/>
    <mergeCell ref="B77:B82"/>
    <mergeCell ref="C21:C22"/>
    <mergeCell ref="D21:D22"/>
    <mergeCell ref="B37:B43"/>
    <mergeCell ref="B50:E50"/>
    <mergeCell ref="D25:I25"/>
    <mergeCell ref="B27:E27"/>
    <mergeCell ref="B28:B34"/>
    <mergeCell ref="B36:E36"/>
    <mergeCell ref="G21:H22"/>
    <mergeCell ref="G23:H23"/>
    <mergeCell ref="D24:I24"/>
    <mergeCell ref="A1:P1"/>
    <mergeCell ref="A2:P2"/>
    <mergeCell ref="A3:P3"/>
    <mergeCell ref="A4:D4"/>
    <mergeCell ref="A5:P5"/>
  </mergeCells>
  <conditionalFormatting sqref="E12:R12">
    <cfRule type="expression" dxfId="99" priority="1">
      <formula>E11="SI SE REPORTA"</formula>
    </cfRule>
  </conditionalFormatting>
  <conditionalFormatting sqref="F10">
    <cfRule type="notContainsBlanks" dxfId="98" priority="4">
      <formula>LEN(TRIM(F10))&gt;0</formula>
    </cfRule>
  </conditionalFormatting>
  <conditionalFormatting sqref="F11:S11">
    <cfRule type="expression" dxfId="97" priority="2">
      <formula>E11="NO SE REPORTA"</formula>
    </cfRule>
    <cfRule type="expression" dxfId="96" priority="3">
      <formula>E10="NO APLICA"</formula>
    </cfRule>
  </conditionalFormatting>
  <dataValidations count="3">
    <dataValidation type="whole" operator="greaterThanOrEqual" allowBlank="1" showErrorMessage="1" errorTitle="ERROR" error="Escriba un número igual o mayor que 0" promptTitle="ERROR" prompt="Escriba un número igual o mayor que 0" sqref="E17:H18 E23" xr:uid="{00000000-0002-0000-0B00-000000000000}">
      <formula1>0</formula1>
    </dataValidation>
    <dataValidation type="list" allowBlank="1" showInputMessage="1" showErrorMessage="1" sqref="E11" xr:uid="{00000000-0002-0000-0B00-000001000000}">
      <formula1>REPORTE</formula1>
    </dataValidation>
    <dataValidation type="list" allowBlank="1" showInputMessage="1" showErrorMessage="1" sqref="E10" xr:uid="{00000000-0002-0000-0B00-000002000000}">
      <formula1>SI</formula1>
    </dataValidation>
  </dataValidations>
  <hyperlinks>
    <hyperlink ref="D65" r:id="rId1" display="http://cambioclimatico.minambiente.gov.co/" xr:uid="{00000000-0004-0000-0B00-000000000000}"/>
    <hyperlink ref="B9" location="'ANEXO 3'!A1" display="VOLVER AL INDICE" xr:uid="{00000000-0004-0000-0B00-000001000000}"/>
    <hyperlink ref="E32" r:id="rId2" xr:uid="{00000000-0004-0000-0B00-000002000000}"/>
  </hyperlinks>
  <pageMargins left="0.25" right="0.25" top="0.75" bottom="0.75" header="0.3" footer="0.3"/>
  <pageSetup paperSize="178" orientation="landscape" horizontalDpi="1200" verticalDpi="1200" r:id="rId3"/>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8">
    <tabColor theme="0"/>
  </sheetPr>
  <dimension ref="A1:U88"/>
  <sheetViews>
    <sheetView showGridLines="0" topLeftCell="A10" zoomScale="98" zoomScaleNormal="98" workbookViewId="0">
      <selection activeCell="D18" sqref="D18"/>
    </sheetView>
  </sheetViews>
  <sheetFormatPr baseColWidth="10" defaultRowHeight="14.4"/>
  <cols>
    <col min="1" max="1" width="1.88671875" customWidth="1"/>
    <col min="2" max="2" width="12.88671875" customWidth="1"/>
    <col min="3" max="3" width="5" style="66" bestFit="1" customWidth="1"/>
    <col min="4" max="4" width="40.44140625" customWidth="1"/>
    <col min="5" max="5" width="16" customWidth="1"/>
    <col min="7" max="7" width="12.44140625" bestFit="1" customWidth="1"/>
    <col min="8" max="8" width="13.33203125" bestFit="1" customWidth="1"/>
    <col min="9" max="9" width="12.6640625" customWidth="1"/>
    <col min="11" max="11" width="80.5546875" customWidth="1"/>
  </cols>
  <sheetData>
    <row r="1" spans="1:21" s="314" customFormat="1" ht="100.5" customHeight="1" thickBot="1">
      <c r="A1" s="1421"/>
      <c r="B1" s="1422"/>
      <c r="C1" s="1422"/>
      <c r="D1" s="1422"/>
      <c r="E1" s="1422"/>
      <c r="F1" s="1422"/>
      <c r="G1" s="1422"/>
      <c r="H1" s="1422"/>
      <c r="I1" s="1422"/>
      <c r="J1" s="1422"/>
      <c r="K1" s="1422"/>
      <c r="L1" s="1422"/>
      <c r="M1" s="1422"/>
      <c r="N1" s="1422"/>
      <c r="O1" s="1422"/>
      <c r="P1" s="1423"/>
      <c r="Q1"/>
      <c r="R1"/>
    </row>
    <row r="2" spans="1:21" s="315" customFormat="1" ht="16.2" thickBot="1">
      <c r="A2" s="1418" t="str">
        <f>+'Datos Generales'!C5</f>
        <v>Corporación Autónoma Regional del Atlántico – CRA</v>
      </c>
      <c r="B2" s="1419"/>
      <c r="C2" s="1419"/>
      <c r="D2" s="1419"/>
      <c r="E2" s="1419"/>
      <c r="F2" s="1419"/>
      <c r="G2" s="1419"/>
      <c r="H2" s="1419"/>
      <c r="I2" s="1419"/>
      <c r="J2" s="1419"/>
      <c r="K2" s="1419"/>
      <c r="L2" s="1419"/>
      <c r="M2" s="1419"/>
      <c r="N2" s="1419"/>
      <c r="O2" s="1419"/>
      <c r="P2" s="1420"/>
      <c r="Q2"/>
      <c r="R2"/>
    </row>
    <row r="3" spans="1:21" s="315" customFormat="1" ht="16.2" thickBot="1">
      <c r="A3" s="1426" t="s">
        <v>1295</v>
      </c>
      <c r="B3" s="1427"/>
      <c r="C3" s="1427"/>
      <c r="D3" s="1427"/>
      <c r="E3" s="1427"/>
      <c r="F3" s="1427"/>
      <c r="G3" s="1427"/>
      <c r="H3" s="1427"/>
      <c r="I3" s="1427"/>
      <c r="J3" s="1427"/>
      <c r="K3" s="1427"/>
      <c r="L3" s="1427"/>
      <c r="M3" s="1427"/>
      <c r="N3" s="1427"/>
      <c r="O3" s="1427"/>
      <c r="P3" s="1428"/>
      <c r="Q3"/>
      <c r="R3"/>
    </row>
    <row r="4" spans="1:21" s="315" customFormat="1" ht="16.2" thickBot="1">
      <c r="A4" s="1424" t="s">
        <v>1294</v>
      </c>
      <c r="B4" s="1425"/>
      <c r="C4" s="1425"/>
      <c r="D4" s="1425"/>
      <c r="E4" s="322" t="str">
        <f>+'Datos Generales'!C6</f>
        <v>2023-II</v>
      </c>
      <c r="F4" s="322"/>
      <c r="G4" s="322"/>
      <c r="H4" s="322"/>
      <c r="I4" s="322"/>
      <c r="J4" s="322"/>
      <c r="K4" s="322"/>
      <c r="L4" s="323"/>
      <c r="M4" s="323"/>
      <c r="N4" s="323"/>
      <c r="O4" s="323"/>
      <c r="P4" s="324"/>
      <c r="Q4"/>
      <c r="R4"/>
    </row>
    <row r="5" spans="1:21" ht="16.5" customHeight="1" thickBot="1">
      <c r="A5" s="1426" t="s">
        <v>313</v>
      </c>
      <c r="B5" s="1427"/>
      <c r="C5" s="1427"/>
      <c r="D5" s="1427"/>
      <c r="E5" s="1427"/>
      <c r="F5" s="1427"/>
      <c r="G5" s="1427"/>
      <c r="H5" s="1427"/>
      <c r="I5" s="1427"/>
      <c r="J5" s="1427"/>
      <c r="K5" s="1427"/>
      <c r="L5" s="1427"/>
      <c r="M5" s="1427"/>
      <c r="N5" s="1427"/>
      <c r="O5" s="1427"/>
      <c r="P5" s="1428"/>
    </row>
    <row r="6" spans="1:21">
      <c r="B6" s="1" t="s">
        <v>1</v>
      </c>
      <c r="C6" s="64"/>
      <c r="D6" s="5"/>
      <c r="E6" s="62"/>
      <c r="F6" s="5" t="s">
        <v>127</v>
      </c>
      <c r="G6" s="5"/>
      <c r="H6" s="5"/>
      <c r="I6" s="5"/>
      <c r="J6" s="5"/>
      <c r="K6" s="5"/>
    </row>
    <row r="7" spans="1:21" ht="15" thickBot="1">
      <c r="B7" s="63"/>
      <c r="C7" s="65"/>
      <c r="D7" s="5"/>
      <c r="E7" s="14"/>
      <c r="F7" s="5" t="s">
        <v>128</v>
      </c>
      <c r="G7" s="5"/>
      <c r="H7" s="5"/>
      <c r="I7" s="5"/>
      <c r="J7" s="5"/>
      <c r="K7" s="5"/>
    </row>
    <row r="8" spans="1:21" ht="15" thickBot="1">
      <c r="B8" s="144" t="s">
        <v>1180</v>
      </c>
      <c r="C8" s="571">
        <v>2023</v>
      </c>
      <c r="D8" s="171">
        <f>IF(E10="NO APLICA","NO APLICA",IF(E11="NO SE REPORTA","SIN INFORMACION",+H19))</f>
        <v>1</v>
      </c>
      <c r="E8" s="168"/>
      <c r="F8" s="5" t="s">
        <v>129</v>
      </c>
      <c r="G8" s="5"/>
      <c r="H8" s="5"/>
      <c r="I8" s="5"/>
      <c r="J8" s="5"/>
      <c r="K8" s="5"/>
    </row>
    <row r="9" spans="1:21">
      <c r="B9" s="300" t="s">
        <v>1181</v>
      </c>
      <c r="D9" s="5"/>
      <c r="E9" s="5"/>
      <c r="F9" s="5"/>
      <c r="G9" s="5"/>
      <c r="H9" s="5"/>
      <c r="I9" s="5"/>
      <c r="J9" s="5"/>
      <c r="K9" s="5"/>
    </row>
    <row r="10" spans="1:21" ht="21.75" customHeight="1">
      <c r="B10" s="1429" t="s">
        <v>1236</v>
      </c>
      <c r="C10" s="1429"/>
      <c r="D10" s="1429"/>
      <c r="E10" s="303" t="s">
        <v>1233</v>
      </c>
      <c r="F10" s="1436"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437"/>
      <c r="H10" s="1437"/>
      <c r="I10" s="1437"/>
      <c r="J10" s="1437"/>
      <c r="K10" s="1437"/>
      <c r="L10" s="1437"/>
      <c r="M10" s="1437"/>
      <c r="N10" s="1437"/>
      <c r="O10" s="1437"/>
      <c r="P10" s="1437"/>
      <c r="Q10" s="1437"/>
      <c r="R10" s="1437"/>
      <c r="S10" s="1437"/>
      <c r="T10" s="5"/>
      <c r="U10" s="5"/>
    </row>
    <row r="11" spans="1:21" ht="18.75" customHeight="1">
      <c r="B11" s="302"/>
      <c r="C11" s="67"/>
      <c r="D11" s="144" t="str">
        <f>IF(E10="SI APLICA","¿El indicador no se reporta por limitaciones de información disponible? ","")</f>
        <v xml:space="preserve">¿El indicador no se reporta por limitaciones de información disponible? </v>
      </c>
      <c r="E11" s="304" t="s">
        <v>1235</v>
      </c>
      <c r="F11" s="1430" t="s">
        <v>1828</v>
      </c>
      <c r="G11" s="1431"/>
      <c r="H11" s="1431"/>
      <c r="I11" s="1431"/>
      <c r="J11" s="1431"/>
      <c r="K11" s="1431"/>
      <c r="L11" s="1431"/>
      <c r="M11" s="1431"/>
      <c r="N11" s="1431"/>
      <c r="O11" s="1431"/>
      <c r="P11" s="1431"/>
      <c r="Q11" s="1431"/>
      <c r="R11" s="1431"/>
      <c r="S11" s="1431"/>
    </row>
    <row r="12" spans="1:21" ht="10.5" customHeight="1">
      <c r="B12" s="300"/>
      <c r="C12" s="67"/>
      <c r="D12" s="144" t="str">
        <f>IF(E11="SI SE REPORTA","¿Qué programas o proyectos del Plan de Acción están asociados al indicador? ","")</f>
        <v xml:space="preserve">¿Qué programas o proyectos del Plan de Acción están asociados al indicador? </v>
      </c>
      <c r="E12" s="1432"/>
      <c r="F12" s="1432"/>
      <c r="G12" s="1432"/>
      <c r="H12" s="1432"/>
      <c r="I12" s="1432"/>
      <c r="J12" s="1432"/>
      <c r="K12" s="1432"/>
      <c r="L12" s="1432"/>
      <c r="M12" s="1432"/>
      <c r="N12" s="1432"/>
      <c r="O12" s="1432"/>
      <c r="P12" s="1432"/>
      <c r="Q12" s="1432"/>
      <c r="R12" s="1432"/>
    </row>
    <row r="13" spans="1:21" ht="84.75" customHeight="1">
      <c r="B13" s="300"/>
      <c r="C13" s="67"/>
      <c r="D13" s="144" t="s">
        <v>1238</v>
      </c>
      <c r="E13" s="1433" t="s">
        <v>1923</v>
      </c>
      <c r="F13" s="1434"/>
      <c r="G13" s="1434"/>
      <c r="H13" s="1434"/>
      <c r="I13" s="1434"/>
      <c r="J13" s="1434"/>
      <c r="K13" s="1434"/>
      <c r="L13" s="1434"/>
      <c r="M13" s="1434"/>
      <c r="N13" s="1434"/>
      <c r="O13" s="1434"/>
      <c r="P13" s="1434"/>
      <c r="Q13" s="1434"/>
      <c r="R13" s="1435"/>
    </row>
    <row r="14" spans="1:21" ht="14.25" customHeight="1" thickBot="1">
      <c r="B14" s="300"/>
      <c r="D14" s="5"/>
      <c r="E14" s="5"/>
      <c r="F14" s="5"/>
      <c r="G14" s="5"/>
      <c r="H14" s="5"/>
      <c r="I14" s="5"/>
      <c r="J14" s="5"/>
      <c r="K14" s="5"/>
    </row>
    <row r="15" spans="1:21" ht="15.6" customHeight="1" thickTop="1" thickBot="1">
      <c r="B15" s="1561" t="s">
        <v>2</v>
      </c>
      <c r="C15" s="68"/>
      <c r="D15" s="1450" t="s">
        <v>335</v>
      </c>
      <c r="E15" s="1451"/>
      <c r="F15" s="1451"/>
      <c r="G15" s="1451"/>
      <c r="H15" s="1451"/>
      <c r="I15" s="1451"/>
      <c r="J15" s="1451"/>
      <c r="K15" s="1452"/>
    </row>
    <row r="16" spans="1:21" ht="15" thickBot="1">
      <c r="A16" s="151"/>
      <c r="B16" s="1484"/>
      <c r="C16" s="77" t="s">
        <v>18</v>
      </c>
      <c r="D16" s="77" t="s">
        <v>1188</v>
      </c>
      <c r="E16" s="77" t="s">
        <v>19</v>
      </c>
      <c r="F16" s="77" t="s">
        <v>20</v>
      </c>
      <c r="G16" s="77" t="s">
        <v>21</v>
      </c>
      <c r="H16" s="77" t="s">
        <v>22</v>
      </c>
      <c r="I16" s="174"/>
      <c r="J16" s="151"/>
      <c r="K16" s="17"/>
    </row>
    <row r="17" spans="2:11" ht="24.6" thickBot="1">
      <c r="B17" s="1484"/>
      <c r="C17" s="2" t="s">
        <v>151</v>
      </c>
      <c r="D17" s="32" t="s">
        <v>336</v>
      </c>
      <c r="E17" s="514">
        <v>0</v>
      </c>
      <c r="F17" s="514">
        <v>0</v>
      </c>
      <c r="G17" s="514">
        <v>50</v>
      </c>
      <c r="H17" s="514">
        <v>50</v>
      </c>
      <c r="I17" s="515"/>
      <c r="J17" s="151"/>
      <c r="K17" s="17"/>
    </row>
    <row r="18" spans="2:11" ht="24.6" thickBot="1">
      <c r="B18" s="1484"/>
      <c r="C18" s="2" t="s">
        <v>153</v>
      </c>
      <c r="D18" s="32" t="s">
        <v>337</v>
      </c>
      <c r="E18" s="514">
        <v>0</v>
      </c>
      <c r="F18" s="514">
        <v>0</v>
      </c>
      <c r="G18" s="514">
        <v>50</v>
      </c>
      <c r="H18" s="514">
        <v>50</v>
      </c>
      <c r="I18" s="515"/>
      <c r="J18" s="151"/>
      <c r="K18" s="17"/>
    </row>
    <row r="19" spans="2:11" ht="24.6" thickBot="1">
      <c r="B19" s="1484"/>
      <c r="C19" s="2" t="s">
        <v>155</v>
      </c>
      <c r="D19" s="32" t="s">
        <v>338</v>
      </c>
      <c r="E19" s="490" t="str">
        <f>IFERROR(E18/E17,"N.A.")</f>
        <v>N.A.</v>
      </c>
      <c r="F19" s="490" t="str">
        <f>IFERROR(F18/F17,"N.A.")</f>
        <v>N.A.</v>
      </c>
      <c r="G19" s="490">
        <f>IFERROR(G18/G17,"N.A.")</f>
        <v>1</v>
      </c>
      <c r="H19" s="490">
        <f>IFERROR(H18/H17,"N.A.")</f>
        <v>1</v>
      </c>
      <c r="I19" s="490"/>
      <c r="K19" s="17"/>
    </row>
    <row r="20" spans="2:11">
      <c r="B20" s="175"/>
      <c r="C20" s="71"/>
      <c r="D20" s="1575" t="s">
        <v>1187</v>
      </c>
      <c r="E20" s="1576"/>
      <c r="F20" s="1576"/>
      <c r="G20" s="1576"/>
      <c r="H20" s="1576"/>
      <c r="I20" s="1576"/>
      <c r="J20" s="1576"/>
      <c r="K20" s="1577"/>
    </row>
    <row r="21" spans="2:11">
      <c r="B21" s="175"/>
      <c r="C21" s="71"/>
      <c r="D21" s="1453" t="s">
        <v>245</v>
      </c>
      <c r="E21" s="1454"/>
      <c r="F21" s="1454"/>
      <c r="G21" s="1454"/>
      <c r="H21" s="1454"/>
      <c r="I21" s="1454"/>
      <c r="J21" s="1454"/>
      <c r="K21" s="1455"/>
    </row>
    <row r="22" spans="2:11">
      <c r="B22" s="175"/>
      <c r="C22" s="71"/>
      <c r="D22" s="1453" t="s">
        <v>332</v>
      </c>
      <c r="E22" s="1454"/>
      <c r="F22" s="1454"/>
      <c r="G22" s="1454"/>
      <c r="H22" s="1454"/>
      <c r="I22" s="1454"/>
      <c r="J22" s="1454"/>
      <c r="K22" s="1455"/>
    </row>
    <row r="23" spans="2:11" ht="15" thickBot="1">
      <c r="B23" s="175"/>
      <c r="C23" s="71"/>
      <c r="D23" s="1472" t="s">
        <v>339</v>
      </c>
      <c r="E23" s="1473"/>
      <c r="F23" s="1473"/>
      <c r="G23" s="1473"/>
      <c r="H23" s="1473"/>
      <c r="I23" s="1473"/>
      <c r="J23" s="1473"/>
      <c r="K23" s="1474"/>
    </row>
    <row r="24" spans="2:11" ht="36.6" thickBot="1">
      <c r="B24" s="175"/>
      <c r="C24" s="77" t="s">
        <v>18</v>
      </c>
      <c r="D24" s="34" t="s">
        <v>269</v>
      </c>
      <c r="E24" s="34" t="s">
        <v>340</v>
      </c>
      <c r="F24" s="34" t="s">
        <v>341</v>
      </c>
      <c r="G24" s="34" t="s">
        <v>342</v>
      </c>
      <c r="H24" s="34" t="s">
        <v>343</v>
      </c>
      <c r="I24" s="34" t="s">
        <v>273</v>
      </c>
      <c r="J24" s="34" t="s">
        <v>274</v>
      </c>
      <c r="K24" s="34" t="s">
        <v>54</v>
      </c>
    </row>
    <row r="25" spans="2:11" s="151" customFormat="1" ht="88.5" customHeight="1" thickBot="1">
      <c r="B25" s="172"/>
      <c r="C25" s="176">
        <v>2</v>
      </c>
      <c r="D25" s="508" t="s">
        <v>1925</v>
      </c>
      <c r="E25" s="494" t="s">
        <v>2805</v>
      </c>
      <c r="F25" s="514">
        <v>50</v>
      </c>
      <c r="G25" s="846">
        <v>400000000</v>
      </c>
      <c r="H25" s="846">
        <v>400000000</v>
      </c>
      <c r="I25" s="846">
        <v>400000000</v>
      </c>
      <c r="J25" s="847">
        <v>306617294</v>
      </c>
      <c r="K25" s="706" t="s">
        <v>2806</v>
      </c>
    </row>
    <row r="26" spans="2:11" ht="18" customHeight="1" thickBot="1">
      <c r="B26" s="37"/>
      <c r="C26" s="2"/>
      <c r="D26" s="58" t="s">
        <v>150</v>
      </c>
      <c r="E26" s="58"/>
      <c r="F26" s="762">
        <f>SUM(F25:F25)</f>
        <v>50</v>
      </c>
      <c r="G26" s="762">
        <f>SUM(G25:G25)</f>
        <v>400000000</v>
      </c>
      <c r="H26" s="762">
        <f>SUM(H25:H25)</f>
        <v>400000000</v>
      </c>
      <c r="I26" s="762">
        <f>SUM(I25:I25)</f>
        <v>400000000</v>
      </c>
      <c r="J26" s="762">
        <f>SUM(J25:J25)</f>
        <v>306617294</v>
      </c>
      <c r="K26" s="9"/>
    </row>
    <row r="27" spans="2:11" ht="24" customHeight="1" thickBot="1">
      <c r="B27" s="61" t="s">
        <v>33</v>
      </c>
      <c r="C27" s="86"/>
      <c r="D27" s="1462" t="s">
        <v>344</v>
      </c>
      <c r="E27" s="1463"/>
      <c r="F27" s="1463"/>
      <c r="G27" s="1463"/>
      <c r="H27" s="1463"/>
      <c r="I27" s="1463"/>
      <c r="J27" s="1463"/>
      <c r="K27" s="1464"/>
    </row>
    <row r="28" spans="2:11" ht="24" customHeight="1" thickBot="1">
      <c r="B28" s="61" t="s">
        <v>35</v>
      </c>
      <c r="C28" s="86"/>
      <c r="D28" s="1462" t="s">
        <v>345</v>
      </c>
      <c r="E28" s="1463"/>
      <c r="F28" s="1463"/>
      <c r="G28" s="1463"/>
      <c r="H28" s="1463"/>
      <c r="I28" s="1463"/>
      <c r="J28" s="1463"/>
      <c r="K28" s="1464"/>
    </row>
    <row r="29" spans="2:11" ht="15" thickBot="1">
      <c r="B29" s="1"/>
      <c r="C29" s="64"/>
      <c r="D29" s="5"/>
      <c r="E29" s="5"/>
      <c r="F29" s="5"/>
      <c r="G29" s="5"/>
      <c r="H29" s="5"/>
      <c r="I29" s="5"/>
      <c r="J29" s="5"/>
      <c r="K29" s="5"/>
    </row>
    <row r="30" spans="2:11" ht="24" customHeight="1" thickBot="1">
      <c r="B30" s="1469" t="s">
        <v>37</v>
      </c>
      <c r="C30" s="1470"/>
      <c r="D30" s="1470"/>
      <c r="E30" s="1471"/>
      <c r="F30" s="5"/>
      <c r="G30" s="5"/>
      <c r="H30" s="5"/>
      <c r="I30" s="5"/>
      <c r="J30" s="5"/>
      <c r="K30" s="5"/>
    </row>
    <row r="31" spans="2:11" ht="15" thickBot="1">
      <c r="B31" s="1459">
        <v>1</v>
      </c>
      <c r="C31" s="73"/>
      <c r="D31" s="38" t="s">
        <v>38</v>
      </c>
      <c r="E31" s="25" t="s">
        <v>1814</v>
      </c>
      <c r="F31" s="5"/>
      <c r="G31" s="5"/>
      <c r="H31" s="5"/>
      <c r="I31" s="5"/>
      <c r="J31" s="5"/>
      <c r="K31" s="5"/>
    </row>
    <row r="32" spans="2:11" ht="24.6" thickBot="1">
      <c r="B32" s="1460"/>
      <c r="C32" s="73"/>
      <c r="D32" s="32" t="s">
        <v>39</v>
      </c>
      <c r="E32" s="24" t="s">
        <v>1975</v>
      </c>
      <c r="F32" s="5"/>
      <c r="G32" s="5"/>
      <c r="H32" s="5"/>
      <c r="I32" s="5"/>
      <c r="J32" s="5"/>
      <c r="K32" s="5"/>
    </row>
    <row r="33" spans="2:11" ht="15" thickBot="1">
      <c r="B33" s="1460"/>
      <c r="C33" s="73"/>
      <c r="D33" s="32" t="s">
        <v>40</v>
      </c>
      <c r="E33" s="24" t="s">
        <v>1821</v>
      </c>
      <c r="F33" s="5"/>
      <c r="G33" s="5"/>
      <c r="H33" s="5"/>
      <c r="I33" s="5"/>
      <c r="J33" s="5"/>
      <c r="K33" s="5"/>
    </row>
    <row r="34" spans="2:11" ht="24.6" thickBot="1">
      <c r="B34" s="1460"/>
      <c r="C34" s="73"/>
      <c r="D34" s="32" t="s">
        <v>41</v>
      </c>
      <c r="E34" s="24" t="s">
        <v>1976</v>
      </c>
      <c r="F34" s="5"/>
      <c r="G34" s="5"/>
      <c r="H34" s="5"/>
      <c r="I34" s="5"/>
      <c r="J34" s="5"/>
      <c r="K34" s="5"/>
    </row>
    <row r="35" spans="2:11" ht="29.4" thickBot="1">
      <c r="B35" s="1460"/>
      <c r="C35" s="73"/>
      <c r="D35" s="32" t="s">
        <v>42</v>
      </c>
      <c r="E35" s="507" t="s">
        <v>1816</v>
      </c>
      <c r="F35" s="5"/>
      <c r="G35" s="5"/>
      <c r="H35" s="5"/>
      <c r="I35" s="5"/>
      <c r="J35" s="5"/>
      <c r="K35" s="5"/>
    </row>
    <row r="36" spans="2:11" ht="15" thickBot="1">
      <c r="B36" s="1460"/>
      <c r="C36" s="73"/>
      <c r="D36" s="32" t="s">
        <v>43</v>
      </c>
      <c r="E36" s="133">
        <v>3686626</v>
      </c>
      <c r="F36" s="5"/>
      <c r="G36" s="5"/>
      <c r="H36" s="5"/>
      <c r="I36" s="5"/>
      <c r="J36" s="5"/>
      <c r="K36" s="5"/>
    </row>
    <row r="37" spans="2:11" ht="24.6" thickBot="1">
      <c r="B37" s="1461"/>
      <c r="C37" s="2"/>
      <c r="D37" s="32" t="s">
        <v>44</v>
      </c>
      <c r="E37" s="24" t="s">
        <v>1817</v>
      </c>
      <c r="F37" s="5"/>
      <c r="G37" s="5"/>
      <c r="H37" s="5"/>
      <c r="I37" s="5"/>
      <c r="J37" s="5"/>
      <c r="K37" s="5"/>
    </row>
    <row r="38" spans="2:11" ht="15" thickBot="1">
      <c r="B38" s="1"/>
      <c r="C38" s="64"/>
      <c r="D38" s="5"/>
      <c r="E38" s="5"/>
      <c r="F38" s="5"/>
      <c r="G38" s="5"/>
      <c r="H38" s="5"/>
      <c r="I38" s="5"/>
      <c r="J38" s="5"/>
      <c r="K38" s="5"/>
    </row>
    <row r="39" spans="2:11" ht="15" thickBot="1">
      <c r="B39" s="1469" t="s">
        <v>45</v>
      </c>
      <c r="C39" s="1470"/>
      <c r="D39" s="1470"/>
      <c r="E39" s="1471"/>
      <c r="F39" s="5"/>
      <c r="G39" s="5"/>
      <c r="H39" s="5"/>
      <c r="I39" s="5"/>
      <c r="J39" s="5"/>
      <c r="K39" s="5"/>
    </row>
    <row r="40" spans="2:11" ht="15" thickBot="1">
      <c r="B40" s="1459">
        <v>1</v>
      </c>
      <c r="C40" s="73"/>
      <c r="D40" s="38" t="s">
        <v>38</v>
      </c>
      <c r="E40" s="177" t="s">
        <v>46</v>
      </c>
      <c r="F40" s="5"/>
      <c r="G40" s="5"/>
      <c r="H40" s="5"/>
      <c r="I40" s="5"/>
      <c r="J40" s="5"/>
      <c r="K40" s="5"/>
    </row>
    <row r="41" spans="2:11" ht="15" thickBot="1">
      <c r="B41" s="1460"/>
      <c r="C41" s="73"/>
      <c r="D41" s="32" t="s">
        <v>39</v>
      </c>
      <c r="E41" s="177" t="s">
        <v>159</v>
      </c>
      <c r="F41" s="5"/>
      <c r="G41" s="5"/>
      <c r="H41" s="5"/>
      <c r="I41" s="5"/>
      <c r="J41" s="5"/>
      <c r="K41" s="5"/>
    </row>
    <row r="42" spans="2:11" ht="15" thickBot="1">
      <c r="B42" s="1460"/>
      <c r="C42" s="73"/>
      <c r="D42" s="32" t="s">
        <v>40</v>
      </c>
      <c r="E42" s="194"/>
      <c r="F42" s="5"/>
      <c r="G42" s="5"/>
      <c r="H42" s="5"/>
      <c r="I42" s="5"/>
      <c r="J42" s="5"/>
      <c r="K42" s="5"/>
    </row>
    <row r="43" spans="2:11" ht="15" thickBot="1">
      <c r="B43" s="1460"/>
      <c r="C43" s="73"/>
      <c r="D43" s="32" t="s">
        <v>41</v>
      </c>
      <c r="E43" s="194"/>
      <c r="F43" s="5"/>
      <c r="G43" s="5"/>
      <c r="H43" s="5"/>
      <c r="I43" s="5"/>
      <c r="J43" s="5"/>
      <c r="K43" s="5"/>
    </row>
    <row r="44" spans="2:11" ht="15" thickBot="1">
      <c r="B44" s="1460"/>
      <c r="C44" s="73"/>
      <c r="D44" s="32" t="s">
        <v>42</v>
      </c>
      <c r="E44" s="194"/>
      <c r="F44" s="5"/>
      <c r="G44" s="5"/>
      <c r="H44" s="5"/>
      <c r="I44" s="5"/>
      <c r="J44" s="5"/>
      <c r="K44" s="5"/>
    </row>
    <row r="45" spans="2:11" ht="15" thickBot="1">
      <c r="B45" s="1460"/>
      <c r="C45" s="73"/>
      <c r="D45" s="32" t="s">
        <v>43</v>
      </c>
      <c r="E45" s="194"/>
      <c r="F45" s="5"/>
      <c r="G45" s="5"/>
      <c r="H45" s="5"/>
      <c r="I45" s="5"/>
      <c r="J45" s="5"/>
      <c r="K45" s="5"/>
    </row>
    <row r="46" spans="2:11" ht="15" thickBot="1">
      <c r="B46" s="1461"/>
      <c r="C46" s="2"/>
      <c r="D46" s="32" t="s">
        <v>44</v>
      </c>
      <c r="E46" s="194"/>
      <c r="F46" s="5"/>
      <c r="G46" s="5"/>
      <c r="H46" s="5"/>
      <c r="I46" s="5"/>
      <c r="J46" s="5"/>
      <c r="K46" s="5"/>
    </row>
    <row r="47" spans="2:11" ht="15" thickBot="1">
      <c r="B47" s="1"/>
      <c r="C47" s="64"/>
      <c r="D47" s="5"/>
      <c r="E47" s="5"/>
      <c r="F47" s="5"/>
      <c r="G47" s="5"/>
      <c r="H47" s="5"/>
      <c r="I47" s="5"/>
      <c r="J47" s="5"/>
      <c r="K47" s="5"/>
    </row>
    <row r="48" spans="2:11" ht="15" customHeight="1" thickBot="1">
      <c r="B48" s="97" t="s">
        <v>48</v>
      </c>
      <c r="C48" s="98"/>
      <c r="D48" s="98"/>
      <c r="E48" s="99"/>
      <c r="G48" s="5"/>
      <c r="H48" s="5"/>
      <c r="I48" s="5"/>
      <c r="J48" s="5"/>
      <c r="K48" s="5"/>
    </row>
    <row r="49" spans="2:11" ht="24.6" thickBot="1">
      <c r="B49" s="37" t="s">
        <v>49</v>
      </c>
      <c r="C49" s="32" t="s">
        <v>50</v>
      </c>
      <c r="D49" s="32" t="s">
        <v>51</v>
      </c>
      <c r="E49" s="32" t="s">
        <v>52</v>
      </c>
      <c r="F49" s="5"/>
      <c r="G49" s="5"/>
      <c r="H49" s="5"/>
      <c r="I49" s="5"/>
      <c r="J49" s="5"/>
    </row>
    <row r="50" spans="2:11" ht="60.6" thickBot="1">
      <c r="B50" s="39">
        <v>42401</v>
      </c>
      <c r="C50" s="32">
        <v>0.01</v>
      </c>
      <c r="D50" s="40" t="s">
        <v>346</v>
      </c>
      <c r="E50" s="32"/>
      <c r="F50" s="5"/>
      <c r="G50" s="5"/>
      <c r="H50" s="5"/>
      <c r="I50" s="5"/>
      <c r="J50" s="5"/>
    </row>
    <row r="51" spans="2:11" ht="15" thickBot="1">
      <c r="B51" s="3"/>
      <c r="C51" s="74"/>
      <c r="D51" s="5"/>
      <c r="E51" s="5"/>
      <c r="F51" s="5"/>
      <c r="G51" s="5"/>
      <c r="H51" s="5"/>
      <c r="I51" s="5"/>
      <c r="J51" s="5"/>
      <c r="K51" s="5"/>
    </row>
    <row r="52" spans="2:11" ht="15" thickBot="1">
      <c r="B52" s="4" t="s">
        <v>54</v>
      </c>
      <c r="C52" s="75"/>
      <c r="D52" s="5"/>
      <c r="E52" s="5"/>
      <c r="F52" s="5"/>
      <c r="G52" s="5"/>
      <c r="H52" s="5"/>
      <c r="I52" s="5"/>
      <c r="J52" s="5"/>
      <c r="K52" s="5"/>
    </row>
    <row r="53" spans="2:11">
      <c r="B53" s="1538"/>
      <c r="C53" s="1539"/>
      <c r="D53" s="1539"/>
      <c r="E53" s="1539"/>
      <c r="F53" s="5"/>
      <c r="G53" s="5"/>
      <c r="H53" s="5"/>
      <c r="I53" s="5"/>
      <c r="J53" s="5"/>
      <c r="K53" s="5"/>
    </row>
    <row r="54" spans="2:11">
      <c r="B54" s="1538"/>
      <c r="C54" s="1539"/>
      <c r="D54" s="1539"/>
      <c r="E54" s="1539"/>
      <c r="F54" s="5"/>
      <c r="G54" s="5"/>
      <c r="H54" s="5"/>
      <c r="I54" s="5"/>
      <c r="J54" s="5"/>
      <c r="K54" s="5"/>
    </row>
    <row r="55" spans="2:11" ht="15" thickBot="1">
      <c r="B55" s="5"/>
      <c r="D55" s="5"/>
      <c r="E55" s="5"/>
      <c r="F55" s="5"/>
      <c r="G55" s="5"/>
      <c r="H55" s="5"/>
      <c r="I55" s="5"/>
      <c r="J55" s="5"/>
      <c r="K55" s="5"/>
    </row>
    <row r="56" spans="2:11" ht="24.6" thickBot="1">
      <c r="B56" s="41" t="s">
        <v>55</v>
      </c>
      <c r="C56" s="76"/>
      <c r="D56" s="5"/>
      <c r="E56" s="5"/>
      <c r="F56" s="5"/>
      <c r="G56" s="5"/>
      <c r="H56" s="5"/>
      <c r="I56" s="5"/>
      <c r="J56" s="5"/>
      <c r="K56" s="5"/>
    </row>
    <row r="57" spans="2:11" ht="15" thickBot="1">
      <c r="B57" s="29"/>
      <c r="C57" s="67"/>
      <c r="D57" s="5"/>
      <c r="E57" s="5"/>
      <c r="F57" s="5"/>
      <c r="G57" s="5"/>
      <c r="H57" s="5"/>
      <c r="I57" s="5"/>
      <c r="J57" s="5"/>
      <c r="K57" s="5"/>
    </row>
    <row r="58" spans="2:11" ht="48.6" thickBot="1">
      <c r="B58" s="42" t="s">
        <v>56</v>
      </c>
      <c r="C58" s="77"/>
      <c r="D58" s="34" t="s">
        <v>314</v>
      </c>
      <c r="E58" s="5"/>
      <c r="F58" s="5"/>
      <c r="G58" s="5"/>
      <c r="H58" s="5"/>
      <c r="I58" s="5"/>
      <c r="J58" s="5"/>
      <c r="K58" s="5"/>
    </row>
    <row r="59" spans="2:11">
      <c r="B59" s="1459" t="s">
        <v>58</v>
      </c>
      <c r="C59" s="73"/>
      <c r="D59" s="43" t="s">
        <v>59</v>
      </c>
      <c r="E59" s="5"/>
      <c r="F59" s="5"/>
      <c r="G59" s="5"/>
      <c r="H59" s="5"/>
      <c r="I59" s="5"/>
      <c r="J59" s="5"/>
      <c r="K59" s="5"/>
    </row>
    <row r="60" spans="2:11" ht="48">
      <c r="B60" s="1460"/>
      <c r="C60" s="73"/>
      <c r="D60" s="36" t="s">
        <v>315</v>
      </c>
      <c r="E60" s="5"/>
      <c r="F60" s="5"/>
      <c r="G60" s="5"/>
      <c r="H60" s="5"/>
      <c r="I60" s="5"/>
      <c r="J60" s="5"/>
      <c r="K60" s="5"/>
    </row>
    <row r="61" spans="2:11">
      <c r="B61" s="1460"/>
      <c r="C61" s="73"/>
      <c r="D61" s="43" t="s">
        <v>316</v>
      </c>
      <c r="E61" s="5"/>
      <c r="F61" s="5"/>
      <c r="G61" s="5"/>
      <c r="H61" s="5"/>
      <c r="I61" s="5"/>
      <c r="J61" s="5"/>
      <c r="K61" s="5"/>
    </row>
    <row r="62" spans="2:11">
      <c r="B62" s="1460"/>
      <c r="C62" s="73"/>
      <c r="D62" s="36" t="s">
        <v>317</v>
      </c>
      <c r="E62" s="5"/>
      <c r="F62" s="5"/>
      <c r="G62" s="5"/>
      <c r="H62" s="5"/>
      <c r="I62" s="5"/>
      <c r="J62" s="5"/>
      <c r="K62" s="5"/>
    </row>
    <row r="63" spans="2:11" ht="48">
      <c r="B63" s="1460"/>
      <c r="C63" s="73"/>
      <c r="D63" s="36" t="s">
        <v>318</v>
      </c>
      <c r="E63" s="5"/>
      <c r="F63" s="5"/>
      <c r="G63" s="5"/>
      <c r="H63" s="5"/>
      <c r="I63" s="5"/>
      <c r="J63" s="5"/>
      <c r="K63" s="5"/>
    </row>
    <row r="64" spans="2:11" ht="192">
      <c r="B64" s="1460"/>
      <c r="C64" s="73"/>
      <c r="D64" s="36" t="s">
        <v>319</v>
      </c>
      <c r="E64" s="5"/>
      <c r="F64" s="5"/>
      <c r="G64" s="5"/>
      <c r="H64" s="5"/>
      <c r="I64" s="5"/>
      <c r="J64" s="5"/>
      <c r="K64" s="5"/>
    </row>
    <row r="65" spans="2:11">
      <c r="B65" s="1460"/>
      <c r="C65" s="73"/>
      <c r="D65" s="43" t="s">
        <v>287</v>
      </c>
      <c r="E65" s="5"/>
      <c r="F65" s="5"/>
      <c r="G65" s="5"/>
      <c r="H65" s="5"/>
      <c r="I65" s="5"/>
      <c r="J65" s="5"/>
      <c r="K65" s="5"/>
    </row>
    <row r="66" spans="2:11" ht="15" thickBot="1">
      <c r="B66" s="1461"/>
      <c r="C66" s="2"/>
      <c r="D66" s="32" t="s">
        <v>320</v>
      </c>
      <c r="E66" s="5"/>
      <c r="F66" s="5"/>
      <c r="G66" s="5"/>
      <c r="H66" s="5"/>
      <c r="I66" s="5"/>
      <c r="J66" s="5"/>
      <c r="K66" s="5"/>
    </row>
    <row r="67" spans="2:11">
      <c r="B67" s="1459" t="s">
        <v>71</v>
      </c>
      <c r="C67" s="78"/>
      <c r="D67" s="1459"/>
      <c r="E67" s="5"/>
      <c r="F67" s="5"/>
      <c r="G67" s="5"/>
      <c r="H67" s="5"/>
      <c r="I67" s="5"/>
      <c r="J67" s="5"/>
      <c r="K67" s="5"/>
    </row>
    <row r="68" spans="2:11" ht="15" thickBot="1">
      <c r="B68" s="1461"/>
      <c r="C68" s="79"/>
      <c r="D68" s="1461"/>
      <c r="E68" s="5"/>
      <c r="F68" s="5"/>
      <c r="G68" s="5"/>
      <c r="H68" s="5"/>
      <c r="I68" s="5"/>
      <c r="J68" s="5"/>
      <c r="K68" s="5"/>
    </row>
    <row r="69" spans="2:11" ht="132">
      <c r="B69" s="1459" t="s">
        <v>72</v>
      </c>
      <c r="C69" s="73"/>
      <c r="D69" s="36" t="s">
        <v>321</v>
      </c>
      <c r="E69" s="5"/>
      <c r="F69" s="5"/>
      <c r="G69" s="5"/>
      <c r="H69" s="5"/>
      <c r="I69" s="5"/>
      <c r="J69" s="5"/>
      <c r="K69" s="5"/>
    </row>
    <row r="70" spans="2:11" ht="84">
      <c r="B70" s="1460"/>
      <c r="C70" s="73"/>
      <c r="D70" s="36" t="s">
        <v>322</v>
      </c>
      <c r="E70" s="5"/>
      <c r="F70" s="5"/>
      <c r="G70" s="5"/>
      <c r="H70" s="5"/>
      <c r="I70" s="5"/>
      <c r="J70" s="5"/>
      <c r="K70" s="5"/>
    </row>
    <row r="71" spans="2:11" ht="96">
      <c r="B71" s="1460"/>
      <c r="C71" s="73"/>
      <c r="D71" s="36" t="s">
        <v>323</v>
      </c>
      <c r="E71" s="5"/>
      <c r="F71" s="5"/>
      <c r="G71" s="5"/>
      <c r="H71" s="5"/>
      <c r="I71" s="5"/>
      <c r="J71" s="5"/>
      <c r="K71" s="5"/>
    </row>
    <row r="72" spans="2:11" ht="60">
      <c r="B72" s="1460"/>
      <c r="C72" s="73"/>
      <c r="D72" s="36" t="s">
        <v>324</v>
      </c>
      <c r="E72" s="5"/>
      <c r="F72" s="5"/>
      <c r="G72" s="5"/>
      <c r="H72" s="5"/>
      <c r="I72" s="5"/>
      <c r="J72" s="5"/>
      <c r="K72" s="5"/>
    </row>
    <row r="73" spans="2:11" ht="48">
      <c r="B73" s="1460"/>
      <c r="C73" s="73"/>
      <c r="D73" s="36" t="s">
        <v>325</v>
      </c>
      <c r="E73" s="5"/>
      <c r="F73" s="5"/>
      <c r="G73" s="5"/>
      <c r="H73" s="5"/>
      <c r="I73" s="5"/>
      <c r="J73" s="5"/>
      <c r="K73" s="5"/>
    </row>
    <row r="74" spans="2:11" ht="144">
      <c r="B74" s="1460"/>
      <c r="C74" s="73"/>
      <c r="D74" s="36" t="s">
        <v>326</v>
      </c>
      <c r="E74" s="5"/>
      <c r="F74" s="5"/>
      <c r="G74" s="5"/>
      <c r="H74" s="5"/>
      <c r="I74" s="5"/>
      <c r="J74" s="5"/>
      <c r="K74" s="5"/>
    </row>
    <row r="75" spans="2:11" ht="72.599999999999994" thickBot="1">
      <c r="B75" s="1461"/>
      <c r="C75" s="2"/>
      <c r="D75" s="32" t="s">
        <v>327</v>
      </c>
      <c r="E75" s="5"/>
      <c r="F75" s="5"/>
      <c r="G75" s="5"/>
      <c r="H75" s="5"/>
      <c r="I75" s="5"/>
      <c r="J75" s="5"/>
      <c r="K75" s="5"/>
    </row>
    <row r="76" spans="2:11" ht="24">
      <c r="B76" s="1459" t="s">
        <v>89</v>
      </c>
      <c r="C76" s="73"/>
      <c r="D76" s="43" t="s">
        <v>328</v>
      </c>
      <c r="E76" s="5"/>
      <c r="F76" s="5"/>
      <c r="G76" s="5"/>
      <c r="H76" s="5"/>
      <c r="I76" s="5"/>
      <c r="J76" s="5"/>
      <c r="K76" s="5"/>
    </row>
    <row r="77" spans="2:11">
      <c r="B77" s="1460"/>
      <c r="C77" s="73"/>
      <c r="D77" s="13"/>
      <c r="E77" s="5"/>
      <c r="F77" s="5"/>
      <c r="G77" s="5"/>
      <c r="H77" s="5"/>
      <c r="I77" s="5"/>
      <c r="J77" s="5"/>
      <c r="K77" s="5"/>
    </row>
    <row r="78" spans="2:11">
      <c r="B78" s="1460"/>
      <c r="C78" s="73"/>
      <c r="D78" s="36" t="s">
        <v>90</v>
      </c>
      <c r="E78" s="5"/>
      <c r="F78" s="5"/>
      <c r="G78" s="5"/>
      <c r="H78" s="5"/>
      <c r="I78" s="5"/>
      <c r="J78" s="5"/>
      <c r="K78" s="5"/>
    </row>
    <row r="79" spans="2:11" ht="26.4">
      <c r="B79" s="1460"/>
      <c r="C79" s="73"/>
      <c r="D79" s="36" t="s">
        <v>329</v>
      </c>
      <c r="E79" s="5"/>
      <c r="F79" s="5"/>
      <c r="G79" s="5"/>
      <c r="H79" s="5"/>
      <c r="I79" s="5"/>
      <c r="J79" s="5"/>
      <c r="K79" s="5"/>
    </row>
    <row r="80" spans="2:11" ht="26.4">
      <c r="B80" s="1460"/>
      <c r="C80" s="73"/>
      <c r="D80" s="36" t="s">
        <v>330</v>
      </c>
      <c r="E80" s="5"/>
      <c r="F80" s="5"/>
      <c r="G80" s="5"/>
      <c r="H80" s="5"/>
      <c r="I80" s="5"/>
      <c r="J80" s="5"/>
      <c r="K80" s="5"/>
    </row>
    <row r="81" spans="2:11" ht="26.4">
      <c r="B81" s="1460"/>
      <c r="C81" s="73"/>
      <c r="D81" s="36" t="s">
        <v>331</v>
      </c>
      <c r="E81" s="5"/>
      <c r="F81" s="5"/>
      <c r="G81" s="5"/>
      <c r="H81" s="5"/>
      <c r="I81" s="5"/>
      <c r="J81" s="5"/>
      <c r="K81" s="5"/>
    </row>
    <row r="82" spans="2:11" ht="60">
      <c r="B82" s="1460"/>
      <c r="C82" s="73"/>
      <c r="D82" s="44" t="s">
        <v>234</v>
      </c>
      <c r="E82" s="5"/>
      <c r="F82" s="5"/>
      <c r="G82" s="5"/>
      <c r="H82" s="5"/>
      <c r="I82" s="5"/>
      <c r="J82" s="5"/>
      <c r="K82" s="5"/>
    </row>
    <row r="83" spans="2:11">
      <c r="B83" s="1460"/>
      <c r="C83" s="73"/>
      <c r="D83" s="43" t="s">
        <v>245</v>
      </c>
      <c r="E83" s="5"/>
      <c r="F83" s="5"/>
      <c r="G83" s="5"/>
      <c r="H83" s="5"/>
      <c r="I83" s="5"/>
      <c r="J83" s="5"/>
      <c r="K83" s="5"/>
    </row>
    <row r="84" spans="2:11" ht="24">
      <c r="B84" s="1460"/>
      <c r="C84" s="73"/>
      <c r="D84" s="43" t="s">
        <v>332</v>
      </c>
      <c r="E84" s="5"/>
      <c r="F84" s="5"/>
      <c r="G84" s="5"/>
      <c r="H84" s="5"/>
      <c r="I84" s="5"/>
      <c r="J84" s="5"/>
      <c r="K84" s="5"/>
    </row>
    <row r="85" spans="2:11">
      <c r="B85" s="1460"/>
      <c r="C85" s="73"/>
      <c r="D85" s="13"/>
      <c r="E85" s="5"/>
      <c r="F85" s="5"/>
      <c r="G85" s="5"/>
      <c r="H85" s="5"/>
      <c r="I85" s="5"/>
      <c r="J85" s="5"/>
      <c r="K85" s="5"/>
    </row>
    <row r="86" spans="2:11">
      <c r="B86" s="1460"/>
      <c r="C86" s="73"/>
      <c r="D86" s="36" t="s">
        <v>90</v>
      </c>
      <c r="E86" s="5"/>
      <c r="F86" s="5"/>
      <c r="G86" s="5"/>
      <c r="H86" s="5"/>
      <c r="I86" s="5"/>
      <c r="J86" s="5"/>
      <c r="K86" s="5"/>
    </row>
    <row r="87" spans="2:11" ht="26.4">
      <c r="B87" s="1460"/>
      <c r="C87" s="73"/>
      <c r="D87" s="36" t="s">
        <v>333</v>
      </c>
      <c r="E87" s="5"/>
      <c r="F87" s="5"/>
      <c r="G87" s="5"/>
      <c r="H87" s="5"/>
      <c r="I87" s="5"/>
      <c r="J87" s="5"/>
      <c r="K87" s="5"/>
    </row>
    <row r="88" spans="2:11" ht="51" thickBot="1">
      <c r="B88" s="1461"/>
      <c r="C88" s="2"/>
      <c r="D88" s="32" t="s">
        <v>334</v>
      </c>
      <c r="E88" s="5"/>
      <c r="F88" s="5"/>
      <c r="G88" s="5"/>
      <c r="H88" s="5"/>
      <c r="I88" s="5"/>
      <c r="J88" s="5"/>
      <c r="K88" s="5"/>
    </row>
  </sheetData>
  <mergeCells count="28">
    <mergeCell ref="B10:D10"/>
    <mergeCell ref="F10:S10"/>
    <mergeCell ref="F11:S11"/>
    <mergeCell ref="E12:R12"/>
    <mergeCell ref="E13:R13"/>
    <mergeCell ref="B59:B66"/>
    <mergeCell ref="B67:B68"/>
    <mergeCell ref="D67:D68"/>
    <mergeCell ref="B69:B75"/>
    <mergeCell ref="B76:B88"/>
    <mergeCell ref="B53:E54"/>
    <mergeCell ref="D15:K15"/>
    <mergeCell ref="D20:K20"/>
    <mergeCell ref="D21:K21"/>
    <mergeCell ref="D22:K22"/>
    <mergeCell ref="B15:B19"/>
    <mergeCell ref="B40:B46"/>
    <mergeCell ref="D23:K23"/>
    <mergeCell ref="D27:K27"/>
    <mergeCell ref="D28:K28"/>
    <mergeCell ref="B30:E30"/>
    <mergeCell ref="B31:B37"/>
    <mergeCell ref="B39:E39"/>
    <mergeCell ref="A1:P1"/>
    <mergeCell ref="A2:P2"/>
    <mergeCell ref="A3:P3"/>
    <mergeCell ref="A4:D4"/>
    <mergeCell ref="A5:P5"/>
  </mergeCells>
  <phoneticPr fontId="43" type="noConversion"/>
  <conditionalFormatting sqref="E12:R12">
    <cfRule type="expression" dxfId="95" priority="3">
      <formula>E11="SI SE REPORTA"</formula>
    </cfRule>
  </conditionalFormatting>
  <conditionalFormatting sqref="F10">
    <cfRule type="notContainsBlanks" dxfId="94" priority="6">
      <formula>LEN(TRIM(F10))&gt;0</formula>
    </cfRule>
  </conditionalFormatting>
  <conditionalFormatting sqref="F11:S11">
    <cfRule type="expression" dxfId="93" priority="1">
      <formula>E11="NO SE REPORTA"</formula>
    </cfRule>
    <cfRule type="expression" dxfId="92" priority="2">
      <formula>E10="NO APLICA"</formula>
    </cfRule>
  </conditionalFormatting>
  <dataValidations count="6">
    <dataValidation type="whole" operator="greaterThanOrEqual" allowBlank="1" showInputMessage="1" showErrorMessage="1" errorTitle="ERROR" error="Valor en HECTAREAS (sin decimales)_x000a_" sqref="E17:H18 F25" xr:uid="{00000000-0002-0000-0C00-000001000000}">
      <formula1>0</formula1>
    </dataValidation>
    <dataValidation allowBlank="1" showInputMessage="1" showErrorMessage="1" promptTitle="OJO" prompt="NO TOCAR" sqref="F26:J26" xr:uid="{00000000-0002-0000-0C00-000002000000}"/>
    <dataValidation allowBlank="1" showInputMessage="1" showErrorMessage="1" sqref="E19:H19" xr:uid="{00000000-0002-0000-0C00-000003000000}"/>
    <dataValidation type="list" allowBlank="1" showInputMessage="1" showErrorMessage="1" sqref="E11" xr:uid="{00000000-0002-0000-0C00-000004000000}">
      <formula1>REPORTE</formula1>
    </dataValidation>
    <dataValidation type="list" allowBlank="1" showInputMessage="1" showErrorMessage="1" sqref="E10" xr:uid="{00000000-0002-0000-0C00-000005000000}">
      <formula1>SI</formula1>
    </dataValidation>
    <dataValidation type="whole" operator="greaterThanOrEqual" allowBlank="1" showInputMessage="1" showErrorMessage="1" errorTitle="ERROR" error="Valor en PESOS (sin centavos)" sqref="G25:J25" xr:uid="{00000000-0002-0000-0C00-000000000000}">
      <formula1>0</formula1>
    </dataValidation>
  </dataValidations>
  <hyperlinks>
    <hyperlink ref="B9" location="'ANEXO 3'!A1" display="VOLVER AL INDICE" xr:uid="{00000000-0004-0000-0C00-000000000000}"/>
    <hyperlink ref="E35" r:id="rId1" xr:uid="{00000000-0004-0000-0C00-000001000000}"/>
  </hyperlinks>
  <pageMargins left="0.25" right="0.25" top="0.75" bottom="0.75" header="0.3" footer="0.3"/>
  <pageSetup paperSize="178" orientation="landscape" horizontalDpi="1200" verticalDpi="1200" r:id="rId2"/>
  <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9">
    <tabColor theme="0"/>
  </sheetPr>
  <dimension ref="A1:U144"/>
  <sheetViews>
    <sheetView showGridLines="0" topLeftCell="A9" zoomScale="98" zoomScaleNormal="98" workbookViewId="0">
      <selection activeCell="D9" sqref="D9"/>
    </sheetView>
  </sheetViews>
  <sheetFormatPr baseColWidth="10" defaultRowHeight="14.4"/>
  <cols>
    <col min="1" max="1" width="1.88671875" customWidth="1"/>
    <col min="2" max="2" width="12.88671875" customWidth="1"/>
    <col min="3" max="3" width="5" style="66" bestFit="1" customWidth="1"/>
    <col min="4" max="4" width="34.88671875" customWidth="1"/>
    <col min="5" max="5" width="30" customWidth="1"/>
    <col min="6" max="6" width="15.88671875" customWidth="1"/>
    <col min="10" max="10" width="13.44140625" customWidth="1"/>
  </cols>
  <sheetData>
    <row r="1" spans="1:21" s="314" customFormat="1" ht="100.5" customHeight="1" thickBot="1">
      <c r="A1" s="1421"/>
      <c r="B1" s="1422"/>
      <c r="C1" s="1422"/>
      <c r="D1" s="1422"/>
      <c r="E1" s="1422"/>
      <c r="F1" s="1422"/>
      <c r="G1" s="1422"/>
      <c r="H1" s="1422"/>
      <c r="I1" s="1422"/>
      <c r="J1" s="1422"/>
      <c r="K1" s="1422"/>
      <c r="L1" s="1422"/>
      <c r="M1" s="1422"/>
      <c r="N1" s="1422"/>
      <c r="O1" s="1422"/>
      <c r="P1" s="1423"/>
      <c r="Q1"/>
      <c r="R1"/>
    </row>
    <row r="2" spans="1:21" s="315" customFormat="1" ht="16.2" thickBot="1">
      <c r="A2" s="1418" t="str">
        <f>+'Datos Generales'!C5</f>
        <v>Corporación Autónoma Regional del Atlántico – CRA</v>
      </c>
      <c r="B2" s="1419"/>
      <c r="C2" s="1419"/>
      <c r="D2" s="1419"/>
      <c r="E2" s="1419"/>
      <c r="F2" s="1419"/>
      <c r="G2" s="1419"/>
      <c r="H2" s="1419"/>
      <c r="I2" s="1419"/>
      <c r="J2" s="1419"/>
      <c r="K2" s="1419"/>
      <c r="L2" s="1419"/>
      <c r="M2" s="1419"/>
      <c r="N2" s="1419"/>
      <c r="O2" s="1419"/>
      <c r="P2" s="1420"/>
      <c r="Q2"/>
      <c r="R2"/>
    </row>
    <row r="3" spans="1:21" s="315" customFormat="1" ht="16.2" thickBot="1">
      <c r="A3" s="1426" t="s">
        <v>1295</v>
      </c>
      <c r="B3" s="1427"/>
      <c r="C3" s="1427"/>
      <c r="D3" s="1427"/>
      <c r="E3" s="1427"/>
      <c r="F3" s="1427"/>
      <c r="G3" s="1427"/>
      <c r="H3" s="1427"/>
      <c r="I3" s="1427"/>
      <c r="J3" s="1427"/>
      <c r="K3" s="1427"/>
      <c r="L3" s="1427"/>
      <c r="M3" s="1427"/>
      <c r="N3" s="1427"/>
      <c r="O3" s="1427"/>
      <c r="P3" s="1428"/>
      <c r="Q3"/>
      <c r="R3"/>
    </row>
    <row r="4" spans="1:21" s="315" customFormat="1" ht="16.2" thickBot="1">
      <c r="A4" s="1424" t="s">
        <v>1294</v>
      </c>
      <c r="B4" s="1425"/>
      <c r="C4" s="1425"/>
      <c r="D4" s="1425"/>
      <c r="E4" s="322" t="str">
        <f>+'Datos Generales'!C6</f>
        <v>2023-II</v>
      </c>
      <c r="F4" s="322"/>
      <c r="G4" s="322"/>
      <c r="H4" s="322"/>
      <c r="I4" s="322"/>
      <c r="J4" s="322"/>
      <c r="K4" s="322"/>
      <c r="L4" s="323"/>
      <c r="M4" s="323"/>
      <c r="N4" s="323"/>
      <c r="O4" s="323"/>
      <c r="P4" s="324"/>
      <c r="Q4"/>
      <c r="R4"/>
    </row>
    <row r="5" spans="1:21" ht="16.5" customHeight="1" thickBot="1">
      <c r="A5" s="1426" t="s">
        <v>347</v>
      </c>
      <c r="B5" s="1427"/>
      <c r="C5" s="1427"/>
      <c r="D5" s="1427"/>
      <c r="E5" s="1427"/>
      <c r="F5" s="1427"/>
      <c r="G5" s="1427"/>
      <c r="H5" s="1427"/>
      <c r="I5" s="1427"/>
      <c r="J5" s="1427"/>
      <c r="K5" s="1427"/>
      <c r="L5" s="1427"/>
      <c r="M5" s="1427"/>
      <c r="N5" s="1427"/>
      <c r="O5" s="1427"/>
      <c r="P5" s="1428"/>
    </row>
    <row r="6" spans="1:21">
      <c r="B6" s="183"/>
      <c r="C6" s="184"/>
      <c r="D6" s="5"/>
      <c r="E6" s="5"/>
      <c r="F6" s="5"/>
      <c r="G6" s="5"/>
      <c r="H6" s="5"/>
      <c r="I6" s="5"/>
      <c r="J6" s="5"/>
      <c r="K6" s="5"/>
    </row>
    <row r="7" spans="1:21">
      <c r="B7" s="1" t="s">
        <v>1</v>
      </c>
      <c r="C7" s="64"/>
      <c r="D7" s="5"/>
      <c r="E7" s="62"/>
      <c r="F7" s="5" t="s">
        <v>127</v>
      </c>
      <c r="G7" s="5"/>
      <c r="H7" s="5"/>
      <c r="I7" s="5"/>
      <c r="J7" s="5"/>
      <c r="K7" s="5"/>
    </row>
    <row r="8" spans="1:21" ht="15" thickBot="1">
      <c r="B8" s="63"/>
      <c r="C8" s="65"/>
      <c r="D8" s="5"/>
      <c r="E8" s="14"/>
      <c r="F8" s="5" t="s">
        <v>128</v>
      </c>
      <c r="G8" s="5"/>
      <c r="H8" s="5"/>
      <c r="I8" s="5"/>
      <c r="J8" s="5"/>
      <c r="K8" s="5"/>
    </row>
    <row r="9" spans="1:21" ht="15" thickBot="1">
      <c r="B9" s="144" t="s">
        <v>1180</v>
      </c>
      <c r="C9" s="571">
        <v>2023</v>
      </c>
      <c r="D9" s="171">
        <f>IF(E11="NO APLICA","NO APLICA",IF(E12="NO SE REPORTA","SIN INFORMACION",+H85))</f>
        <v>0</v>
      </c>
      <c r="E9" s="168"/>
      <c r="F9" s="5" t="s">
        <v>129</v>
      </c>
      <c r="G9" s="5"/>
      <c r="H9" s="5"/>
      <c r="I9" s="5"/>
      <c r="J9" s="5"/>
      <c r="K9" s="5"/>
    </row>
    <row r="10" spans="1:21">
      <c r="B10" s="300" t="s">
        <v>1181</v>
      </c>
      <c r="C10" s="64"/>
      <c r="D10" s="5"/>
      <c r="E10" s="5"/>
      <c r="F10" s="5"/>
      <c r="G10" s="5"/>
      <c r="H10" s="5"/>
      <c r="I10" s="5"/>
      <c r="J10" s="5"/>
      <c r="K10" s="5"/>
    </row>
    <row r="11" spans="1:21">
      <c r="B11" s="1429" t="s">
        <v>1236</v>
      </c>
      <c r="C11" s="1429"/>
      <c r="D11" s="1429"/>
      <c r="E11" s="303" t="s">
        <v>1233</v>
      </c>
      <c r="F11" s="1436" t="str">
        <f>IF(E11="NO APLICA","      ESCRIBA EL NÚMERO DEL ACUERDO DEL CONSEJO DIRECTIVO EN EL CUAL DECIDE LA NO PROCEDENCIA DE LA APLICACIÓN DEL INDICADOR",IF(E12="NO SE REPORTA","      ESCRIBA EL NÚMERO DEL ACUERDO DEL CONSEJO DIRECTIVO EN LA CUAL SE APRUEBA LA AGENDA DE IMPLEMENTACION DEL INDICADOR",""))</f>
        <v/>
      </c>
      <c r="G11" s="1437"/>
      <c r="H11" s="1437"/>
      <c r="I11" s="1437"/>
      <c r="J11" s="1437"/>
      <c r="K11" s="1437"/>
      <c r="L11" s="1437"/>
      <c r="M11" s="1437"/>
      <c r="N11" s="1437"/>
      <c r="O11" s="1437"/>
      <c r="P11" s="1437"/>
      <c r="Q11" s="1437"/>
      <c r="R11" s="1437"/>
      <c r="S11" s="1437"/>
      <c r="T11" s="5"/>
      <c r="U11" s="5"/>
    </row>
    <row r="12" spans="1:21" ht="14.4" customHeight="1">
      <c r="B12" s="302"/>
      <c r="C12" s="67"/>
      <c r="D12" s="144" t="str">
        <f>IF(E11="SI APLICA","¿El indicador no se reporta por limitaciones de información disponible? ","")</f>
        <v xml:space="preserve">¿El indicador no se reporta por limitaciones de información disponible? </v>
      </c>
      <c r="E12" s="304" t="s">
        <v>1235</v>
      </c>
      <c r="F12" s="1430" t="s">
        <v>1828</v>
      </c>
      <c r="G12" s="1431"/>
      <c r="H12" s="1431"/>
      <c r="I12" s="1431"/>
      <c r="J12" s="1431"/>
      <c r="K12" s="1431"/>
      <c r="L12" s="1431"/>
      <c r="M12" s="1431"/>
      <c r="N12" s="1431"/>
      <c r="O12" s="1431"/>
      <c r="P12" s="1431"/>
      <c r="Q12" s="1431"/>
      <c r="R12" s="1431"/>
      <c r="S12" s="1431"/>
    </row>
    <row r="13" spans="1:21" ht="51.75" customHeight="1" thickBot="1">
      <c r="B13" s="300"/>
      <c r="C13" s="67"/>
      <c r="D13" s="144" t="str">
        <f>IF(E12="SI SE REPORTA","¿Qué programas o proyectos del Plan de Acción están asociados al indicador? ","")</f>
        <v xml:space="preserve">¿Qué programas o proyectos del Plan de Acción están asociados al indicador? </v>
      </c>
      <c r="E13" s="1432" t="s">
        <v>2810</v>
      </c>
      <c r="F13" s="1432"/>
      <c r="G13" s="1432"/>
      <c r="H13" s="1432"/>
      <c r="I13" s="1432"/>
      <c r="J13" s="1432"/>
      <c r="K13" s="1432"/>
      <c r="L13" s="1432"/>
      <c r="M13" s="1432"/>
      <c r="N13" s="1432"/>
      <c r="O13" s="1432"/>
      <c r="P13" s="1432"/>
      <c r="Q13" s="1432"/>
      <c r="R13" s="1432"/>
    </row>
    <row r="14" spans="1:21" ht="54" customHeight="1" thickBot="1">
      <c r="B14" s="300"/>
      <c r="C14" s="67"/>
      <c r="D14" s="144" t="s">
        <v>1238</v>
      </c>
      <c r="E14" s="1581" t="s">
        <v>2807</v>
      </c>
      <c r="F14" s="1582"/>
      <c r="G14" s="1582"/>
      <c r="H14" s="1582"/>
      <c r="I14" s="1582"/>
      <c r="J14" s="1582"/>
      <c r="K14" s="1582"/>
      <c r="L14" s="1582"/>
      <c r="M14" s="1582"/>
      <c r="N14" s="1582"/>
      <c r="O14" s="1582"/>
      <c r="P14" s="1582"/>
      <c r="Q14" s="1582"/>
      <c r="R14" s="1583"/>
    </row>
    <row r="15" spans="1:21" ht="30.75" customHeight="1" thickBot="1">
      <c r="B15" s="300"/>
      <c r="C15" s="64"/>
      <c r="D15" s="5"/>
      <c r="E15" s="1578" t="s">
        <v>2811</v>
      </c>
      <c r="F15" s="1579"/>
      <c r="G15" s="1579"/>
      <c r="H15" s="1579"/>
      <c r="I15" s="1579"/>
      <c r="J15" s="1579"/>
      <c r="K15" s="1579"/>
      <c r="L15" s="1579"/>
      <c r="M15" s="1579"/>
      <c r="N15" s="1579"/>
      <c r="O15" s="1579"/>
      <c r="P15" s="1579"/>
      <c r="Q15" s="1579"/>
      <c r="R15" s="1580"/>
    </row>
    <row r="16" spans="1:21" ht="116.25" customHeight="1" thickBot="1">
      <c r="B16" s="1459" t="s">
        <v>2</v>
      </c>
      <c r="C16" s="68"/>
      <c r="D16" s="903" t="s">
        <v>335</v>
      </c>
      <c r="E16" s="1317" t="s">
        <v>1969</v>
      </c>
      <c r="F16" s="107"/>
      <c r="G16" s="107"/>
      <c r="H16" s="107"/>
      <c r="I16" s="107"/>
      <c r="J16" s="36"/>
      <c r="K16" s="5"/>
    </row>
    <row r="17" spans="2:11">
      <c r="B17" s="1460"/>
      <c r="C17" s="1562" t="s">
        <v>18</v>
      </c>
      <c r="D17" s="1573" t="s">
        <v>149</v>
      </c>
      <c r="E17" s="1588" t="s">
        <v>363</v>
      </c>
      <c r="F17" s="1584" t="s">
        <v>1171</v>
      </c>
      <c r="G17" s="1590" t="s">
        <v>150</v>
      </c>
      <c r="H17" s="5"/>
      <c r="J17" s="17"/>
      <c r="K17" s="5"/>
    </row>
    <row r="18" spans="2:11" ht="24" customHeight="1" thickBot="1">
      <c r="B18" s="1460"/>
      <c r="C18" s="1563"/>
      <c r="D18" s="1574"/>
      <c r="E18" s="1589"/>
      <c r="F18" s="1585"/>
      <c r="G18" s="1589"/>
      <c r="H18" s="5"/>
      <c r="J18" s="17"/>
      <c r="K18" s="5"/>
    </row>
    <row r="19" spans="2:11" ht="24.6" thickBot="1">
      <c r="B19" s="1460"/>
      <c r="C19" s="2" t="s">
        <v>151</v>
      </c>
      <c r="D19" s="32" t="s">
        <v>1658</v>
      </c>
      <c r="E19" s="516">
        <v>5</v>
      </c>
      <c r="F19" s="517">
        <v>0</v>
      </c>
      <c r="G19" s="111">
        <f t="shared" ref="G19:G24" si="0">+E19+F19</f>
        <v>5</v>
      </c>
      <c r="H19" s="5"/>
      <c r="J19" s="17"/>
      <c r="K19" s="5"/>
    </row>
    <row r="20" spans="2:11" ht="24.6" thickBot="1">
      <c r="B20" s="1460"/>
      <c r="C20" s="2" t="s">
        <v>153</v>
      </c>
      <c r="D20" s="32" t="s">
        <v>1659</v>
      </c>
      <c r="E20" s="513">
        <v>7356</v>
      </c>
      <c r="F20" s="518">
        <v>0</v>
      </c>
      <c r="G20" s="111">
        <f t="shared" si="0"/>
        <v>7356</v>
      </c>
      <c r="H20" s="5"/>
      <c r="J20" s="17"/>
      <c r="K20" s="5"/>
    </row>
    <row r="21" spans="2:11" ht="36.6" thickBot="1">
      <c r="B21" s="1460"/>
      <c r="C21" s="2" t="s">
        <v>155</v>
      </c>
      <c r="D21" s="32" t="s">
        <v>364</v>
      </c>
      <c r="E21" s="513">
        <v>0</v>
      </c>
      <c r="F21" s="518">
        <v>0</v>
      </c>
      <c r="G21" s="111">
        <f t="shared" si="0"/>
        <v>0</v>
      </c>
      <c r="H21" s="5"/>
      <c r="J21" s="17"/>
      <c r="K21" s="5"/>
    </row>
    <row r="22" spans="2:11" ht="24.6" thickBot="1">
      <c r="B22" s="1460"/>
      <c r="C22" s="2" t="s">
        <v>257</v>
      </c>
      <c r="D22" s="281" t="s">
        <v>1197</v>
      </c>
      <c r="E22" s="513">
        <v>1300</v>
      </c>
      <c r="F22" s="518">
        <v>0</v>
      </c>
      <c r="G22" s="564">
        <f t="shared" si="0"/>
        <v>1300</v>
      </c>
      <c r="H22" s="5"/>
      <c r="J22" s="17"/>
      <c r="K22" s="5"/>
    </row>
    <row r="23" spans="2:11" ht="36.6" thickBot="1">
      <c r="B23" s="1460"/>
      <c r="C23" s="2" t="s">
        <v>259</v>
      </c>
      <c r="D23" s="32" t="s">
        <v>1660</v>
      </c>
      <c r="E23" s="516">
        <v>1</v>
      </c>
      <c r="F23" s="517">
        <v>0</v>
      </c>
      <c r="G23" s="559">
        <f t="shared" si="0"/>
        <v>1</v>
      </c>
      <c r="H23" s="5"/>
      <c r="J23" s="17"/>
      <c r="K23" s="5"/>
    </row>
    <row r="24" spans="2:11" ht="36.6" thickBot="1">
      <c r="B24" s="1460"/>
      <c r="C24" s="2" t="s">
        <v>261</v>
      </c>
      <c r="D24" s="32" t="s">
        <v>1661</v>
      </c>
      <c r="E24" s="564">
        <f>+E21+E22</f>
        <v>1300</v>
      </c>
      <c r="F24" s="564">
        <f>+F21+F22</f>
        <v>0</v>
      </c>
      <c r="G24" s="564">
        <f t="shared" si="0"/>
        <v>1300</v>
      </c>
      <c r="H24" s="5"/>
      <c r="J24" s="17"/>
      <c r="K24" s="5"/>
    </row>
    <row r="25" spans="2:11" ht="24" customHeight="1">
      <c r="B25" s="1460"/>
      <c r="C25" s="71"/>
      <c r="D25" s="1586" t="s">
        <v>365</v>
      </c>
      <c r="E25" s="1587"/>
      <c r="F25" s="1587"/>
      <c r="G25" s="1587"/>
      <c r="H25" s="1587"/>
      <c r="I25" s="1587"/>
      <c r="J25" s="17"/>
    </row>
    <row r="26" spans="2:11">
      <c r="B26" s="1460"/>
      <c r="C26" s="71"/>
      <c r="D26" s="225" t="s">
        <v>366</v>
      </c>
      <c r="E26" s="3"/>
      <c r="F26" s="3"/>
      <c r="G26" s="3"/>
      <c r="H26" s="3"/>
      <c r="I26" s="3"/>
      <c r="J26" s="17"/>
    </row>
    <row r="27" spans="2:11" ht="15" thickBot="1">
      <c r="B27" s="1460"/>
      <c r="C27" s="71"/>
      <c r="D27" s="1441" t="s">
        <v>367</v>
      </c>
      <c r="E27" s="1442"/>
      <c r="F27" s="1442"/>
      <c r="G27" s="1442"/>
      <c r="H27" s="1442"/>
      <c r="I27" s="1442"/>
      <c r="J27" s="1443"/>
    </row>
    <row r="28" spans="2:11" ht="15" thickBot="1">
      <c r="B28" s="1460"/>
      <c r="C28" s="73"/>
      <c r="D28" s="30" t="s">
        <v>149</v>
      </c>
      <c r="E28" s="30" t="s">
        <v>19</v>
      </c>
      <c r="F28" s="30" t="s">
        <v>20</v>
      </c>
      <c r="G28" s="30" t="s">
        <v>21</v>
      </c>
      <c r="H28" s="30" t="s">
        <v>22</v>
      </c>
      <c r="I28" s="30" t="s">
        <v>150</v>
      </c>
      <c r="J28" s="17"/>
    </row>
    <row r="29" spans="2:11" ht="15" thickBot="1">
      <c r="B29" s="1460"/>
      <c r="C29" s="73"/>
      <c r="D29" s="31" t="s">
        <v>368</v>
      </c>
      <c r="E29" s="162">
        <v>0</v>
      </c>
      <c r="F29" s="162">
        <v>0</v>
      </c>
      <c r="G29" s="162">
        <v>0</v>
      </c>
      <c r="H29" s="162">
        <v>1</v>
      </c>
      <c r="I29" s="113">
        <f>SUM(E29:H29)</f>
        <v>1</v>
      </c>
      <c r="J29" s="17"/>
    </row>
    <row r="30" spans="2:11" ht="15" thickBot="1">
      <c r="B30" s="1460"/>
      <c r="C30" s="73"/>
      <c r="D30" s="31" t="s">
        <v>369</v>
      </c>
      <c r="E30" s="162">
        <v>0</v>
      </c>
      <c r="F30" s="162">
        <v>0</v>
      </c>
      <c r="G30" s="162">
        <v>0</v>
      </c>
      <c r="H30" s="162">
        <v>0</v>
      </c>
      <c r="I30" s="226"/>
      <c r="J30" s="17"/>
    </row>
    <row r="31" spans="2:11" ht="15" thickBot="1">
      <c r="B31" s="1460"/>
      <c r="C31" s="73"/>
      <c r="D31" s="31" t="s">
        <v>370</v>
      </c>
      <c r="E31" s="162">
        <v>0</v>
      </c>
      <c r="F31" s="162">
        <v>0</v>
      </c>
      <c r="G31" s="162">
        <v>0</v>
      </c>
      <c r="H31" s="162">
        <v>0</v>
      </c>
      <c r="I31" s="226"/>
      <c r="J31" s="17"/>
    </row>
    <row r="32" spans="2:11" ht="15" thickBot="1">
      <c r="B32" s="1460"/>
      <c r="C32" s="73"/>
      <c r="D32" s="31" t="s">
        <v>371</v>
      </c>
      <c r="E32" s="162">
        <v>0</v>
      </c>
      <c r="F32" s="162">
        <v>0</v>
      </c>
      <c r="G32" s="162">
        <v>1</v>
      </c>
      <c r="H32" s="162">
        <v>0</v>
      </c>
      <c r="I32" s="226"/>
      <c r="J32" s="17"/>
    </row>
    <row r="33" spans="2:10" ht="15" thickBot="1">
      <c r="B33" s="1460"/>
      <c r="C33" s="73"/>
      <c r="D33" s="31" t="s">
        <v>372</v>
      </c>
      <c r="E33" s="162">
        <v>0</v>
      </c>
      <c r="F33" s="162">
        <v>0</v>
      </c>
      <c r="G33" s="162">
        <v>0</v>
      </c>
      <c r="H33" s="162">
        <v>0</v>
      </c>
      <c r="I33" s="226"/>
      <c r="J33" s="17"/>
    </row>
    <row r="34" spans="2:10" ht="15" thickBot="1">
      <c r="B34" s="1460"/>
      <c r="C34" s="73"/>
      <c r="D34" s="31" t="s">
        <v>1193</v>
      </c>
      <c r="E34" s="223">
        <v>0</v>
      </c>
      <c r="F34" s="223">
        <v>0</v>
      </c>
      <c r="G34" s="223">
        <v>0</v>
      </c>
      <c r="H34" s="223">
        <v>1</v>
      </c>
      <c r="I34" s="226"/>
      <c r="J34" s="17"/>
    </row>
    <row r="35" spans="2:10" ht="15" thickBot="1">
      <c r="B35" s="1460"/>
      <c r="C35" s="73"/>
      <c r="D35" s="31" t="s">
        <v>150</v>
      </c>
      <c r="E35" s="113">
        <f>SUM(E30:E34)</f>
        <v>0</v>
      </c>
      <c r="F35" s="113">
        <f>SUM(F30:F34)</f>
        <v>0</v>
      </c>
      <c r="G35" s="113">
        <f>SUM(G30:G34)</f>
        <v>1</v>
      </c>
      <c r="H35" s="113">
        <f>SUM(H30:H34)</f>
        <v>1</v>
      </c>
      <c r="I35" s="226"/>
      <c r="J35" s="17"/>
    </row>
    <row r="36" spans="2:10">
      <c r="B36" s="1460"/>
      <c r="C36" s="71"/>
      <c r="D36" s="1441" t="s">
        <v>373</v>
      </c>
      <c r="E36" s="1442"/>
      <c r="F36" s="1442"/>
      <c r="G36" s="1442"/>
      <c r="H36" s="1442"/>
      <c r="I36" s="1442"/>
      <c r="J36" s="1443"/>
    </row>
    <row r="37" spans="2:10">
      <c r="B37" s="1460"/>
      <c r="C37" s="71"/>
      <c r="D37" s="1441" t="s">
        <v>374</v>
      </c>
      <c r="E37" s="1442"/>
      <c r="F37" s="1442"/>
      <c r="G37" s="1442"/>
      <c r="H37" s="1442"/>
      <c r="I37" s="1442"/>
      <c r="J37" s="1443"/>
    </row>
    <row r="38" spans="2:10" ht="15" thickBot="1">
      <c r="B38" s="1460"/>
      <c r="C38" s="71"/>
      <c r="D38" s="1453" t="s">
        <v>375</v>
      </c>
      <c r="E38" s="1454"/>
      <c r="F38" s="1454"/>
      <c r="G38" s="1454"/>
      <c r="H38" s="1454"/>
      <c r="I38" s="1454"/>
      <c r="J38" s="1455"/>
    </row>
    <row r="39" spans="2:10" ht="15" thickBot="1">
      <c r="B39" s="1460"/>
      <c r="C39" s="73"/>
      <c r="D39" s="30" t="s">
        <v>149</v>
      </c>
      <c r="E39" s="30" t="s">
        <v>19</v>
      </c>
      <c r="F39" s="30" t="s">
        <v>20</v>
      </c>
      <c r="G39" s="30" t="s">
        <v>21</v>
      </c>
      <c r="H39" s="30" t="s">
        <v>22</v>
      </c>
      <c r="I39" s="30" t="s">
        <v>150</v>
      </c>
      <c r="J39" s="17"/>
    </row>
    <row r="40" spans="2:10" ht="15" thickBot="1">
      <c r="B40" s="1460"/>
      <c r="C40" s="73"/>
      <c r="D40" s="31" t="s">
        <v>368</v>
      </c>
      <c r="E40" s="163">
        <v>0</v>
      </c>
      <c r="F40" s="163">
        <v>0</v>
      </c>
      <c r="G40" s="163">
        <v>0</v>
      </c>
      <c r="H40" s="163">
        <v>550</v>
      </c>
      <c r="I40" s="113">
        <f>SUM(E40:H40)</f>
        <v>550</v>
      </c>
      <c r="J40" s="17"/>
    </row>
    <row r="41" spans="2:10" ht="15" thickBot="1">
      <c r="B41" s="1460"/>
      <c r="C41" s="73"/>
      <c r="D41" s="31" t="s">
        <v>369</v>
      </c>
      <c r="E41" s="163">
        <v>0</v>
      </c>
      <c r="F41" s="163">
        <v>0</v>
      </c>
      <c r="G41" s="163">
        <v>0</v>
      </c>
      <c r="H41" s="163">
        <v>0</v>
      </c>
      <c r="I41" s="227"/>
      <c r="J41" s="17"/>
    </row>
    <row r="42" spans="2:10" ht="15" thickBot="1">
      <c r="B42" s="1460"/>
      <c r="C42" s="73"/>
      <c r="D42" s="31" t="s">
        <v>370</v>
      </c>
      <c r="E42" s="163">
        <v>0</v>
      </c>
      <c r="F42" s="163">
        <v>0</v>
      </c>
      <c r="G42" s="163">
        <v>0</v>
      </c>
      <c r="H42" s="163">
        <v>0</v>
      </c>
      <c r="I42" s="227"/>
      <c r="J42" s="17"/>
    </row>
    <row r="43" spans="2:10" ht="15" thickBot="1">
      <c r="B43" s="1460"/>
      <c r="C43" s="73"/>
      <c r="D43" s="31" t="s">
        <v>371</v>
      </c>
      <c r="E43" s="163">
        <v>0</v>
      </c>
      <c r="F43" s="163">
        <v>0</v>
      </c>
      <c r="G43" s="163">
        <v>750</v>
      </c>
      <c r="H43" s="163">
        <v>0</v>
      </c>
      <c r="I43" s="227"/>
      <c r="J43" s="17"/>
    </row>
    <row r="44" spans="2:10" ht="15" thickBot="1">
      <c r="B44" s="1460"/>
      <c r="C44" s="73"/>
      <c r="D44" s="31" t="s">
        <v>372</v>
      </c>
      <c r="E44" s="163">
        <v>0</v>
      </c>
      <c r="F44" s="163">
        <v>0</v>
      </c>
      <c r="G44" s="163">
        <v>0</v>
      </c>
      <c r="H44" s="163">
        <v>0</v>
      </c>
      <c r="I44" s="227"/>
      <c r="J44" s="17"/>
    </row>
    <row r="45" spans="2:10" ht="15" thickBot="1">
      <c r="B45" s="1460"/>
      <c r="C45" s="73"/>
      <c r="D45" s="31" t="s">
        <v>1193</v>
      </c>
      <c r="E45" s="163">
        <v>0</v>
      </c>
      <c r="F45" s="163">
        <v>0</v>
      </c>
      <c r="G45" s="163">
        <v>0</v>
      </c>
      <c r="H45" s="163">
        <v>1300</v>
      </c>
      <c r="I45" s="227"/>
      <c r="J45" s="17"/>
    </row>
    <row r="46" spans="2:10" ht="15" thickBot="1">
      <c r="B46" s="1460"/>
      <c r="C46" s="73"/>
      <c r="D46" s="31" t="s">
        <v>150</v>
      </c>
      <c r="E46" s="113">
        <f>SUM(E41:E45)</f>
        <v>0</v>
      </c>
      <c r="F46" s="113">
        <f>SUM(F41:F45)</f>
        <v>0</v>
      </c>
      <c r="G46" s="113">
        <f>SUM(G41:G45)</f>
        <v>750</v>
      </c>
      <c r="H46" s="113">
        <f>SUM(H41:H45)</f>
        <v>1300</v>
      </c>
      <c r="I46" s="227"/>
      <c r="J46" s="17"/>
    </row>
    <row r="47" spans="2:10">
      <c r="B47" s="1460"/>
      <c r="C47" s="71"/>
      <c r="D47" s="1441" t="s">
        <v>376</v>
      </c>
      <c r="E47" s="1442"/>
      <c r="F47" s="1442"/>
      <c r="G47" s="1442"/>
      <c r="H47" s="1442"/>
      <c r="I47" s="1442"/>
      <c r="J47" s="1443"/>
    </row>
    <row r="48" spans="2:10">
      <c r="B48" s="1460"/>
      <c r="C48" s="71"/>
      <c r="D48" s="1441" t="s">
        <v>377</v>
      </c>
      <c r="E48" s="1442"/>
      <c r="F48" s="1442"/>
      <c r="G48" s="1442"/>
      <c r="H48" s="1442"/>
      <c r="I48" s="1442"/>
      <c r="J48" s="1443"/>
    </row>
    <row r="49" spans="2:10">
      <c r="B49" s="1460"/>
      <c r="C49" s="71"/>
      <c r="D49" s="1453" t="s">
        <v>378</v>
      </c>
      <c r="E49" s="1454"/>
      <c r="F49" s="1454"/>
      <c r="G49" s="1454"/>
      <c r="H49" s="1454"/>
      <c r="I49" s="1454"/>
      <c r="J49" s="1455"/>
    </row>
    <row r="50" spans="2:10" ht="15" thickBot="1">
      <c r="B50" s="1460"/>
      <c r="C50" s="71"/>
      <c r="D50" s="1441" t="s">
        <v>367</v>
      </c>
      <c r="E50" s="1442"/>
      <c r="F50" s="1442"/>
      <c r="G50" s="1442"/>
      <c r="H50" s="1442"/>
      <c r="I50" s="1442"/>
      <c r="J50" s="1443"/>
    </row>
    <row r="51" spans="2:10" ht="15" thickBot="1">
      <c r="B51" s="1460"/>
      <c r="C51" s="73"/>
      <c r="D51" s="30" t="s">
        <v>149</v>
      </c>
      <c r="E51" s="30" t="s">
        <v>19</v>
      </c>
      <c r="F51" s="30" t="s">
        <v>20</v>
      </c>
      <c r="G51" s="30" t="s">
        <v>21</v>
      </c>
      <c r="H51" s="30" t="s">
        <v>22</v>
      </c>
      <c r="I51" s="30" t="s">
        <v>150</v>
      </c>
      <c r="J51" s="17"/>
    </row>
    <row r="52" spans="2:10" ht="15" thickBot="1">
      <c r="B52" s="1460"/>
      <c r="C52" s="73"/>
      <c r="D52" s="31" t="s">
        <v>368</v>
      </c>
      <c r="E52" s="6">
        <v>0</v>
      </c>
      <c r="F52" s="6">
        <v>0</v>
      </c>
      <c r="G52" s="6">
        <v>0</v>
      </c>
      <c r="H52" s="6">
        <v>0</v>
      </c>
      <c r="I52" s="33">
        <f>SUM(E52:H52)</f>
        <v>0</v>
      </c>
      <c r="J52" s="17"/>
    </row>
    <row r="53" spans="2:10" ht="15" thickBot="1">
      <c r="B53" s="1460"/>
      <c r="C53" s="73"/>
      <c r="D53" s="31" t="s">
        <v>369</v>
      </c>
      <c r="E53" s="6">
        <v>0</v>
      </c>
      <c r="F53" s="6">
        <v>0</v>
      </c>
      <c r="G53" s="6">
        <v>0</v>
      </c>
      <c r="H53" s="6">
        <v>0</v>
      </c>
      <c r="I53" s="228"/>
      <c r="J53" s="17"/>
    </row>
    <row r="54" spans="2:10" ht="15" thickBot="1">
      <c r="B54" s="1460"/>
      <c r="C54" s="73"/>
      <c r="D54" s="31" t="s">
        <v>370</v>
      </c>
      <c r="E54" s="6">
        <v>0</v>
      </c>
      <c r="F54" s="6">
        <v>0</v>
      </c>
      <c r="G54" s="6">
        <v>0</v>
      </c>
      <c r="H54" s="6">
        <v>0</v>
      </c>
      <c r="I54" s="228"/>
      <c r="J54" s="17"/>
    </row>
    <row r="55" spans="2:10" ht="15" thickBot="1">
      <c r="B55" s="1460"/>
      <c r="C55" s="73"/>
      <c r="D55" s="31" t="s">
        <v>371</v>
      </c>
      <c r="E55" s="6">
        <v>0</v>
      </c>
      <c r="F55" s="6">
        <v>0</v>
      </c>
      <c r="G55" s="6">
        <v>0</v>
      </c>
      <c r="H55" s="6">
        <v>0</v>
      </c>
      <c r="I55" s="228"/>
      <c r="J55" s="17"/>
    </row>
    <row r="56" spans="2:10" ht="15" thickBot="1">
      <c r="B56" s="1460"/>
      <c r="C56" s="73"/>
      <c r="D56" s="31" t="s">
        <v>372</v>
      </c>
      <c r="E56" s="6">
        <v>0</v>
      </c>
      <c r="F56" s="6">
        <v>0</v>
      </c>
      <c r="G56" s="6">
        <v>0</v>
      </c>
      <c r="H56" s="6">
        <v>0</v>
      </c>
      <c r="I56" s="228"/>
      <c r="J56" s="17"/>
    </row>
    <row r="57" spans="2:10" ht="15" thickBot="1">
      <c r="B57" s="1460"/>
      <c r="C57" s="73"/>
      <c r="D57" s="31" t="s">
        <v>1193</v>
      </c>
      <c r="E57" s="224">
        <v>0</v>
      </c>
      <c r="F57" s="224">
        <v>0</v>
      </c>
      <c r="G57" s="224">
        <v>0</v>
      </c>
      <c r="H57" s="224">
        <v>0</v>
      </c>
      <c r="I57" s="228"/>
      <c r="J57" s="17"/>
    </row>
    <row r="58" spans="2:10" ht="15" thickBot="1">
      <c r="B58" s="1460"/>
      <c r="C58" s="73"/>
      <c r="D58" s="31" t="s">
        <v>150</v>
      </c>
      <c r="E58" s="113">
        <f>SUM(E53:E57)</f>
        <v>0</v>
      </c>
      <c r="F58" s="113">
        <f>SUM(F53:F57)</f>
        <v>0</v>
      </c>
      <c r="G58" s="113">
        <f>SUM(G53:G57)</f>
        <v>0</v>
      </c>
      <c r="H58" s="113">
        <f>SUM(H53:H57)</f>
        <v>0</v>
      </c>
      <c r="I58" s="228"/>
      <c r="J58" s="17"/>
    </row>
    <row r="59" spans="2:10">
      <c r="B59" s="1460"/>
      <c r="C59" s="71"/>
      <c r="D59" s="1441" t="s">
        <v>373</v>
      </c>
      <c r="E59" s="1442"/>
      <c r="F59" s="1442"/>
      <c r="G59" s="1442"/>
      <c r="H59" s="1442"/>
      <c r="I59" s="1442"/>
      <c r="J59" s="1443"/>
    </row>
    <row r="60" spans="2:10">
      <c r="B60" s="1460"/>
      <c r="C60" s="71"/>
      <c r="D60" s="1441" t="s">
        <v>374</v>
      </c>
      <c r="E60" s="1442"/>
      <c r="F60" s="1442"/>
      <c r="G60" s="1442"/>
      <c r="H60" s="1442"/>
      <c r="I60" s="1442"/>
      <c r="J60" s="1443"/>
    </row>
    <row r="61" spans="2:10" ht="15" thickBot="1">
      <c r="B61" s="1460"/>
      <c r="C61" s="71"/>
      <c r="D61" s="1453" t="s">
        <v>375</v>
      </c>
      <c r="E61" s="1454"/>
      <c r="F61" s="1454"/>
      <c r="G61" s="1454"/>
      <c r="H61" s="1454"/>
      <c r="I61" s="1454"/>
      <c r="J61" s="1455"/>
    </row>
    <row r="62" spans="2:10" s="110" customFormat="1" ht="15" thickBot="1">
      <c r="B62" s="1460"/>
      <c r="C62" s="73"/>
      <c r="D62" s="69" t="s">
        <v>149</v>
      </c>
      <c r="E62" s="69" t="s">
        <v>19</v>
      </c>
      <c r="F62" s="69" t="s">
        <v>20</v>
      </c>
      <c r="G62" s="69" t="s">
        <v>21</v>
      </c>
      <c r="H62" s="69" t="s">
        <v>22</v>
      </c>
      <c r="I62" s="69" t="s">
        <v>150</v>
      </c>
      <c r="J62" s="260"/>
    </row>
    <row r="63" spans="2:10" ht="15" thickBot="1">
      <c r="B63" s="1460"/>
      <c r="C63" s="73"/>
      <c r="D63" s="31" t="s">
        <v>368</v>
      </c>
      <c r="E63" s="149">
        <v>0</v>
      </c>
      <c r="F63" s="149">
        <v>0</v>
      </c>
      <c r="G63" s="149">
        <v>0</v>
      </c>
      <c r="H63" s="149">
        <v>0</v>
      </c>
      <c r="I63" s="113">
        <f>SUM(E63:H63)</f>
        <v>0</v>
      </c>
      <c r="J63" s="17"/>
    </row>
    <row r="64" spans="2:10" ht="15" thickBot="1">
      <c r="B64" s="1460"/>
      <c r="C64" s="73"/>
      <c r="D64" s="31" t="s">
        <v>369</v>
      </c>
      <c r="E64" s="149">
        <v>0</v>
      </c>
      <c r="F64" s="149">
        <v>0</v>
      </c>
      <c r="G64" s="149">
        <v>0</v>
      </c>
      <c r="H64" s="149">
        <v>0</v>
      </c>
      <c r="I64" s="228"/>
      <c r="J64" s="17"/>
    </row>
    <row r="65" spans="2:11" ht="15" thickBot="1">
      <c r="B65" s="1460"/>
      <c r="C65" s="73"/>
      <c r="D65" s="31" t="s">
        <v>370</v>
      </c>
      <c r="E65" s="149">
        <v>0</v>
      </c>
      <c r="F65" s="149">
        <v>0</v>
      </c>
      <c r="G65" s="149">
        <v>0</v>
      </c>
      <c r="H65" s="149">
        <v>0</v>
      </c>
      <c r="I65" s="228"/>
      <c r="J65" s="17"/>
    </row>
    <row r="66" spans="2:11" ht="15" thickBot="1">
      <c r="B66" s="1460"/>
      <c r="C66" s="73"/>
      <c r="D66" s="31" t="s">
        <v>371</v>
      </c>
      <c r="E66" s="149">
        <v>0</v>
      </c>
      <c r="F66" s="149">
        <v>0</v>
      </c>
      <c r="G66" s="149">
        <v>0</v>
      </c>
      <c r="H66" s="149">
        <v>0</v>
      </c>
      <c r="I66" s="228"/>
      <c r="J66" s="17"/>
    </row>
    <row r="67" spans="2:11" ht="15" thickBot="1">
      <c r="B67" s="1460"/>
      <c r="C67" s="73"/>
      <c r="D67" s="31" t="s">
        <v>372</v>
      </c>
      <c r="E67" s="149">
        <v>0</v>
      </c>
      <c r="F67" s="149">
        <v>0</v>
      </c>
      <c r="G67" s="149">
        <v>0</v>
      </c>
      <c r="H67" s="149">
        <v>0</v>
      </c>
      <c r="I67" s="228"/>
      <c r="J67" s="17"/>
    </row>
    <row r="68" spans="2:11" ht="15" thickBot="1">
      <c r="B68" s="1460"/>
      <c r="C68" s="73"/>
      <c r="D68" s="31" t="s">
        <v>1192</v>
      </c>
      <c r="E68" s="149">
        <v>0</v>
      </c>
      <c r="F68" s="149">
        <v>0</v>
      </c>
      <c r="G68" s="149">
        <v>0</v>
      </c>
      <c r="H68" s="149">
        <v>0</v>
      </c>
      <c r="I68" s="228"/>
      <c r="J68" s="17"/>
    </row>
    <row r="69" spans="2:11" ht="15" thickBot="1">
      <c r="B69" s="1460"/>
      <c r="C69" s="73"/>
      <c r="D69" s="31" t="s">
        <v>150</v>
      </c>
      <c r="E69" s="113">
        <f>SUM(E64:E68)</f>
        <v>0</v>
      </c>
      <c r="F69" s="113">
        <f>SUM(F64:F68)</f>
        <v>0</v>
      </c>
      <c r="G69" s="113">
        <f>SUM(G64:G68)</f>
        <v>0</v>
      </c>
      <c r="H69" s="113">
        <f>SUM(H64:H68)</f>
        <v>0</v>
      </c>
      <c r="I69" s="228"/>
      <c r="J69" s="17"/>
    </row>
    <row r="70" spans="2:11">
      <c r="B70" s="1460"/>
      <c r="C70" s="71"/>
      <c r="D70" s="1441" t="s">
        <v>376</v>
      </c>
      <c r="E70" s="1442"/>
      <c r="F70" s="1442"/>
      <c r="G70" s="1442"/>
      <c r="H70" s="1442"/>
      <c r="I70" s="1442"/>
      <c r="J70" s="1443"/>
    </row>
    <row r="71" spans="2:11">
      <c r="B71" s="1460"/>
      <c r="C71" s="71"/>
      <c r="D71" s="1441" t="s">
        <v>377</v>
      </c>
      <c r="E71" s="1442"/>
      <c r="F71" s="1442"/>
      <c r="G71" s="1442"/>
      <c r="H71" s="1442"/>
      <c r="I71" s="1442"/>
      <c r="J71" s="1443"/>
    </row>
    <row r="72" spans="2:11" ht="15" thickBot="1">
      <c r="B72" s="1460"/>
      <c r="C72" s="71"/>
      <c r="D72" s="1444" t="s">
        <v>379</v>
      </c>
      <c r="E72" s="1445"/>
      <c r="F72" s="1445"/>
      <c r="G72" s="1445"/>
      <c r="H72" s="1445"/>
      <c r="I72" s="1445"/>
      <c r="J72" s="1446"/>
    </row>
    <row r="73" spans="2:11" ht="33" customHeight="1">
      <c r="B73" s="1460"/>
      <c r="C73" s="73"/>
      <c r="D73" s="1497" t="s">
        <v>380</v>
      </c>
      <c r="E73" s="1489" t="s">
        <v>381</v>
      </c>
      <c r="F73" s="1489" t="s">
        <v>382</v>
      </c>
      <c r="G73" s="1489" t="s">
        <v>383</v>
      </c>
      <c r="H73" s="1489" t="s">
        <v>384</v>
      </c>
      <c r="I73" s="1489" t="s">
        <v>385</v>
      </c>
      <c r="J73" s="519" t="s">
        <v>386</v>
      </c>
      <c r="K73" s="5"/>
    </row>
    <row r="74" spans="2:11" ht="15" thickBot="1">
      <c r="B74" s="1460"/>
      <c r="C74" s="73"/>
      <c r="D74" s="1500"/>
      <c r="E74" s="1491"/>
      <c r="F74" s="1491"/>
      <c r="G74" s="1491"/>
      <c r="H74" s="1491"/>
      <c r="I74" s="1491"/>
      <c r="J74" s="486" t="s">
        <v>387</v>
      </c>
      <c r="K74" s="5"/>
    </row>
    <row r="75" spans="2:11" ht="15" thickBot="1">
      <c r="B75" s="1460"/>
      <c r="C75" s="73"/>
      <c r="D75" s="24"/>
      <c r="E75" s="24"/>
      <c r="F75" s="24"/>
      <c r="G75" s="149"/>
      <c r="H75" s="149"/>
      <c r="I75" s="24"/>
      <c r="J75" s="24"/>
      <c r="K75" s="5"/>
    </row>
    <row r="76" spans="2:11" ht="15" thickBot="1">
      <c r="B76" s="1460"/>
      <c r="C76" s="73"/>
      <c r="D76" s="24"/>
      <c r="E76" s="24"/>
      <c r="F76" s="24"/>
      <c r="G76" s="149"/>
      <c r="H76" s="149"/>
      <c r="I76" s="24"/>
      <c r="J76" s="24"/>
      <c r="K76" s="5"/>
    </row>
    <row r="77" spans="2:11" ht="15" thickBot="1">
      <c r="B77" s="1460"/>
      <c r="C77" s="73"/>
      <c r="D77" s="24"/>
      <c r="E77" s="24"/>
      <c r="F77" s="24"/>
      <c r="G77" s="149"/>
      <c r="H77" s="149"/>
      <c r="I77" s="24"/>
      <c r="J77" s="24"/>
      <c r="K77" s="5"/>
    </row>
    <row r="78" spans="2:11">
      <c r="B78" s="1460"/>
      <c r="C78" s="71"/>
      <c r="D78" s="1450" t="s">
        <v>388</v>
      </c>
      <c r="E78" s="1451"/>
      <c r="F78" s="1451"/>
      <c r="G78" s="1451"/>
      <c r="H78" s="1451"/>
      <c r="I78" s="1451"/>
      <c r="J78" s="1452"/>
      <c r="K78" s="5"/>
    </row>
    <row r="79" spans="2:11" ht="15" thickBot="1">
      <c r="B79" s="1460"/>
      <c r="C79" s="71"/>
      <c r="D79" s="1472" t="s">
        <v>389</v>
      </c>
      <c r="E79" s="1473"/>
      <c r="F79" s="1473"/>
      <c r="G79" s="1473"/>
      <c r="H79" s="1473"/>
      <c r="I79" s="1473"/>
      <c r="J79" s="1474"/>
      <c r="K79" s="5"/>
    </row>
    <row r="80" spans="2:11">
      <c r="B80" s="1460"/>
      <c r="C80" s="71"/>
      <c r="D80" s="189"/>
      <c r="E80" s="107"/>
      <c r="F80" s="107"/>
      <c r="G80" s="107"/>
      <c r="H80" s="107"/>
      <c r="I80" s="107"/>
      <c r="J80" s="36"/>
      <c r="K80" s="5"/>
    </row>
    <row r="81" spans="2:11" ht="15" thickBot="1">
      <c r="B81" s="1460"/>
      <c r="C81" s="71"/>
      <c r="D81" s="189" t="s">
        <v>1194</v>
      </c>
      <c r="E81" s="107"/>
      <c r="F81" s="107"/>
      <c r="G81" s="107"/>
      <c r="H81" s="107"/>
      <c r="I81" s="107"/>
      <c r="J81" s="36"/>
      <c r="K81" s="5"/>
    </row>
    <row r="82" spans="2:11">
      <c r="B82" s="1460"/>
      <c r="C82" s="71"/>
      <c r="D82" s="229" t="s">
        <v>149</v>
      </c>
      <c r="E82" s="230" t="s">
        <v>19</v>
      </c>
      <c r="F82" s="230" t="s">
        <v>20</v>
      </c>
      <c r="G82" s="230" t="s">
        <v>21</v>
      </c>
      <c r="H82" s="230" t="s">
        <v>22</v>
      </c>
      <c r="I82" s="231" t="s">
        <v>150</v>
      </c>
      <c r="J82" s="36"/>
      <c r="K82" s="5"/>
    </row>
    <row r="83" spans="2:11" ht="25.5" customHeight="1">
      <c r="B83" s="1460"/>
      <c r="C83" s="71"/>
      <c r="D83" s="232" t="s">
        <v>1195</v>
      </c>
      <c r="E83" s="233">
        <f>+E63+E40</f>
        <v>0</v>
      </c>
      <c r="F83" s="233">
        <f>+F63+F40</f>
        <v>0</v>
      </c>
      <c r="G83" s="233">
        <v>750</v>
      </c>
      <c r="H83" s="233">
        <v>550</v>
      </c>
      <c r="I83" s="234">
        <f>SUM(E83:H83)</f>
        <v>1300</v>
      </c>
      <c r="J83" s="36"/>
      <c r="K83" s="5"/>
    </row>
    <row r="84" spans="2:11" ht="36">
      <c r="B84" s="1460"/>
      <c r="C84" s="71"/>
      <c r="D84" s="235" t="s">
        <v>1196</v>
      </c>
      <c r="E84" s="233">
        <f>+E68+E45</f>
        <v>0</v>
      </c>
      <c r="F84" s="233">
        <f>+F68+F45</f>
        <v>0</v>
      </c>
      <c r="G84" s="233">
        <f>+G68+G45</f>
        <v>0</v>
      </c>
      <c r="H84" s="233">
        <v>0</v>
      </c>
      <c r="I84" s="234">
        <f>SUM(E84:H84)</f>
        <v>0</v>
      </c>
      <c r="J84" s="36"/>
      <c r="K84" s="5"/>
    </row>
    <row r="85" spans="2:11" ht="36.6" thickBot="1">
      <c r="B85" s="1460"/>
      <c r="C85" s="71"/>
      <c r="D85" s="235" t="s">
        <v>347</v>
      </c>
      <c r="E85" s="236" t="str">
        <f>IFERROR(E84/E83,"N.A.")</f>
        <v>N.A.</v>
      </c>
      <c r="F85" s="236" t="str">
        <f>IFERROR(F84/F83,"N.A.")</f>
        <v>N.A.</v>
      </c>
      <c r="G85" s="236">
        <f>IFERROR(G84/G83,"N.A.")</f>
        <v>0</v>
      </c>
      <c r="H85" s="236">
        <f>IFERROR(H84/H83,"N.A.")</f>
        <v>0</v>
      </c>
      <c r="I85" s="236">
        <f>IFERROR(I84/I83,"N.A.")</f>
        <v>0</v>
      </c>
      <c r="J85" s="36"/>
      <c r="K85" s="5"/>
    </row>
    <row r="86" spans="2:11" ht="24" customHeight="1" thickBot="1">
      <c r="B86" s="1461"/>
      <c r="C86" s="72"/>
      <c r="J86" s="36"/>
      <c r="K86" s="5"/>
    </row>
    <row r="87" spans="2:11" ht="24" customHeight="1" thickBot="1">
      <c r="B87" s="37" t="s">
        <v>33</v>
      </c>
      <c r="C87" s="72"/>
      <c r="D87" s="1462" t="s">
        <v>390</v>
      </c>
      <c r="E87" s="1463"/>
      <c r="F87" s="1463"/>
      <c r="G87" s="1463"/>
      <c r="H87" s="1463"/>
      <c r="I87" s="1463"/>
      <c r="J87" s="1464"/>
      <c r="K87" s="5"/>
    </row>
    <row r="88" spans="2:11" ht="24" customHeight="1">
      <c r="B88" s="1459" t="s">
        <v>35</v>
      </c>
      <c r="C88" s="68"/>
      <c r="D88" s="1450" t="s">
        <v>345</v>
      </c>
      <c r="E88" s="1451"/>
      <c r="F88" s="1451"/>
      <c r="G88" s="1451"/>
      <c r="H88" s="1451"/>
      <c r="I88" s="1451"/>
      <c r="J88" s="1452"/>
      <c r="K88" s="5"/>
    </row>
    <row r="89" spans="2:11" ht="48" customHeight="1">
      <c r="B89" s="1460"/>
      <c r="C89" s="71"/>
      <c r="D89" s="1441" t="s">
        <v>391</v>
      </c>
      <c r="E89" s="1442"/>
      <c r="F89" s="1442"/>
      <c r="G89" s="1442"/>
      <c r="H89" s="1442"/>
      <c r="I89" s="1442"/>
      <c r="J89" s="1443"/>
      <c r="K89" s="5"/>
    </row>
    <row r="90" spans="2:11" ht="60" customHeight="1" thickBot="1">
      <c r="B90" s="1461"/>
      <c r="C90" s="72"/>
      <c r="D90" s="1472" t="s">
        <v>392</v>
      </c>
      <c r="E90" s="1473"/>
      <c r="F90" s="1473"/>
      <c r="G90" s="1473"/>
      <c r="H90" s="1473"/>
      <c r="I90" s="1473"/>
      <c r="J90" s="1474"/>
      <c r="K90" s="5"/>
    </row>
    <row r="91" spans="2:11" ht="15" thickBot="1">
      <c r="B91" s="1"/>
      <c r="C91" s="64"/>
      <c r="D91" s="5"/>
      <c r="E91" s="5"/>
      <c r="F91" s="5"/>
      <c r="G91" s="5"/>
      <c r="H91" s="5"/>
      <c r="I91" s="5"/>
      <c r="J91" s="5"/>
      <c r="K91" s="5"/>
    </row>
    <row r="92" spans="2:11" ht="24" customHeight="1" thickBot="1">
      <c r="B92" s="1469" t="s">
        <v>37</v>
      </c>
      <c r="C92" s="1470"/>
      <c r="D92" s="1470"/>
      <c r="E92" s="1471"/>
      <c r="F92" s="5"/>
      <c r="G92" s="5"/>
      <c r="H92" s="5"/>
      <c r="I92" s="5"/>
      <c r="J92" s="5"/>
      <c r="K92" s="5"/>
    </row>
    <row r="93" spans="2:11" ht="15" thickBot="1">
      <c r="B93" s="1459">
        <v>1</v>
      </c>
      <c r="C93" s="73"/>
      <c r="D93" s="38" t="s">
        <v>38</v>
      </c>
      <c r="E93" s="25" t="s">
        <v>1814</v>
      </c>
      <c r="F93" s="5"/>
      <c r="G93" s="5"/>
      <c r="H93" s="5"/>
      <c r="I93" s="5"/>
      <c r="J93" s="5"/>
      <c r="K93" s="5"/>
    </row>
    <row r="94" spans="2:11" ht="15" thickBot="1">
      <c r="B94" s="1460"/>
      <c r="C94" s="73"/>
      <c r="D94" s="32" t="s">
        <v>39</v>
      </c>
      <c r="E94" s="24" t="s">
        <v>1834</v>
      </c>
      <c r="F94" s="5"/>
      <c r="G94" s="5"/>
      <c r="H94" s="5"/>
      <c r="I94" s="5"/>
      <c r="J94" s="5"/>
      <c r="K94" s="5"/>
    </row>
    <row r="95" spans="2:11" ht="15" thickBot="1">
      <c r="B95" s="1460"/>
      <c r="C95" s="73"/>
      <c r="D95" s="32" t="s">
        <v>40</v>
      </c>
      <c r="E95" s="24" t="s">
        <v>2037</v>
      </c>
      <c r="F95" s="5"/>
      <c r="G95" s="5"/>
      <c r="H95" s="5"/>
      <c r="I95" s="5"/>
      <c r="J95" s="5"/>
      <c r="K95" s="5"/>
    </row>
    <row r="96" spans="2:11" ht="15" thickBot="1">
      <c r="B96" s="1460"/>
      <c r="C96" s="73"/>
      <c r="D96" s="32" t="s">
        <v>41</v>
      </c>
      <c r="E96" s="24" t="s">
        <v>2050</v>
      </c>
      <c r="F96" s="5"/>
      <c r="G96" s="5"/>
      <c r="H96" s="5"/>
      <c r="I96" s="5"/>
      <c r="J96" s="5"/>
      <c r="K96" s="5"/>
    </row>
    <row r="97" spans="2:11" ht="15" thickBot="1">
      <c r="B97" s="1460"/>
      <c r="C97" s="73"/>
      <c r="D97" s="32" t="s">
        <v>42</v>
      </c>
      <c r="E97" s="507" t="s">
        <v>1825</v>
      </c>
      <c r="F97" s="5"/>
      <c r="G97" s="5"/>
      <c r="H97" s="5"/>
      <c r="I97" s="5"/>
      <c r="J97" s="5"/>
      <c r="K97" s="5"/>
    </row>
    <row r="98" spans="2:11" ht="15" thickBot="1">
      <c r="B98" s="1460"/>
      <c r="C98" s="73"/>
      <c r="D98" s="32" t="s">
        <v>43</v>
      </c>
      <c r="E98" s="24" t="s">
        <v>1826</v>
      </c>
      <c r="F98" s="5"/>
      <c r="G98" s="5"/>
      <c r="H98" s="5"/>
      <c r="I98" s="5"/>
      <c r="J98" s="5"/>
      <c r="K98" s="5"/>
    </row>
    <row r="99" spans="2:11" ht="15" thickBot="1">
      <c r="B99" s="1461"/>
      <c r="C99" s="2"/>
      <c r="D99" s="32" t="s">
        <v>44</v>
      </c>
      <c r="E99" s="24" t="s">
        <v>1817</v>
      </c>
      <c r="F99" s="5"/>
      <c r="G99" s="5"/>
      <c r="H99" s="5"/>
      <c r="I99" s="5"/>
      <c r="J99" s="5"/>
      <c r="K99" s="5"/>
    </row>
    <row r="100" spans="2:11" ht="15" thickBot="1">
      <c r="B100" s="1"/>
      <c r="C100" s="64"/>
      <c r="D100" s="5"/>
      <c r="E100" s="5"/>
      <c r="F100" s="5"/>
      <c r="G100" s="5"/>
      <c r="H100" s="5"/>
      <c r="I100" s="5"/>
      <c r="J100" s="5"/>
      <c r="K100" s="5"/>
    </row>
    <row r="101" spans="2:11" ht="15" thickBot="1">
      <c r="B101" s="1469" t="s">
        <v>45</v>
      </c>
      <c r="C101" s="1470"/>
      <c r="D101" s="1470"/>
      <c r="E101" s="1471"/>
      <c r="F101" s="5"/>
      <c r="G101" s="5"/>
      <c r="H101" s="5"/>
      <c r="I101" s="5"/>
      <c r="J101" s="5"/>
      <c r="K101" s="5"/>
    </row>
    <row r="102" spans="2:11" ht="24.6" thickBot="1">
      <c r="B102" s="1459">
        <v>1</v>
      </c>
      <c r="C102" s="73"/>
      <c r="D102" s="38" t="s">
        <v>38</v>
      </c>
      <c r="E102" s="28" t="s">
        <v>46</v>
      </c>
      <c r="F102" s="5"/>
      <c r="G102" s="5"/>
      <c r="H102" s="5"/>
      <c r="I102" s="5"/>
      <c r="J102" s="5"/>
      <c r="K102" s="5"/>
    </row>
    <row r="103" spans="2:11" ht="36.6" thickBot="1">
      <c r="B103" s="1460"/>
      <c r="C103" s="73"/>
      <c r="D103" s="32" t="s">
        <v>39</v>
      </c>
      <c r="E103" s="28" t="s">
        <v>159</v>
      </c>
      <c r="F103" s="5"/>
      <c r="G103" s="5"/>
      <c r="H103" s="5"/>
      <c r="I103" s="5"/>
      <c r="J103" s="5"/>
      <c r="K103" s="5"/>
    </row>
    <row r="104" spans="2:11" ht="15" thickBot="1">
      <c r="B104" s="1460"/>
      <c r="C104" s="73"/>
      <c r="D104" s="32" t="s">
        <v>40</v>
      </c>
      <c r="E104" s="194"/>
      <c r="F104" s="5"/>
      <c r="G104" s="5"/>
      <c r="H104" s="5"/>
      <c r="I104" s="5"/>
      <c r="J104" s="5"/>
      <c r="K104" s="5"/>
    </row>
    <row r="105" spans="2:11" ht="15" thickBot="1">
      <c r="B105" s="1460"/>
      <c r="C105" s="73"/>
      <c r="D105" s="32" t="s">
        <v>41</v>
      </c>
      <c r="E105" s="194"/>
      <c r="F105" s="5"/>
      <c r="G105" s="5"/>
      <c r="H105" s="5"/>
      <c r="I105" s="5"/>
      <c r="J105" s="5"/>
      <c r="K105" s="5"/>
    </row>
    <row r="106" spans="2:11" ht="15" thickBot="1">
      <c r="B106" s="1460"/>
      <c r="C106" s="73"/>
      <c r="D106" s="32" t="s">
        <v>42</v>
      </c>
      <c r="E106" s="194"/>
      <c r="F106" s="5"/>
      <c r="G106" s="5"/>
      <c r="H106" s="5"/>
      <c r="I106" s="5"/>
      <c r="J106" s="5"/>
      <c r="K106" s="5"/>
    </row>
    <row r="107" spans="2:11" ht="15" thickBot="1">
      <c r="B107" s="1460"/>
      <c r="C107" s="73"/>
      <c r="D107" s="32" t="s">
        <v>43</v>
      </c>
      <c r="E107" s="194"/>
      <c r="F107" s="5"/>
      <c r="G107" s="5"/>
      <c r="H107" s="5"/>
      <c r="I107" s="5"/>
      <c r="J107" s="5"/>
      <c r="K107" s="5"/>
    </row>
    <row r="108" spans="2:11" ht="15" thickBot="1">
      <c r="B108" s="1461"/>
      <c r="C108" s="2"/>
      <c r="D108" s="32" t="s">
        <v>44</v>
      </c>
      <c r="E108" s="194"/>
      <c r="F108" s="5"/>
      <c r="G108" s="5"/>
      <c r="H108" s="5"/>
      <c r="I108" s="5"/>
      <c r="J108" s="5"/>
      <c r="K108" s="5"/>
    </row>
    <row r="109" spans="2:11" ht="15" thickBot="1">
      <c r="B109" s="1"/>
      <c r="C109" s="64"/>
      <c r="D109" s="5"/>
      <c r="E109" s="5"/>
      <c r="F109" s="5"/>
      <c r="G109" s="5"/>
      <c r="H109" s="5"/>
      <c r="I109" s="5"/>
      <c r="J109" s="5"/>
      <c r="K109" s="5"/>
    </row>
    <row r="110" spans="2:11" ht="15" customHeight="1" thickBot="1">
      <c r="B110" s="97" t="s">
        <v>48</v>
      </c>
      <c r="C110" s="98"/>
      <c r="D110" s="98"/>
      <c r="E110" s="99"/>
      <c r="G110" s="5"/>
      <c r="H110" s="5"/>
      <c r="I110" s="5"/>
      <c r="J110" s="5"/>
      <c r="K110" s="5"/>
    </row>
    <row r="111" spans="2:11" ht="24.6" thickBot="1">
      <c r="B111" s="37" t="s">
        <v>49</v>
      </c>
      <c r="C111" s="32" t="s">
        <v>50</v>
      </c>
      <c r="D111" s="32" t="s">
        <v>51</v>
      </c>
      <c r="E111" s="32" t="s">
        <v>52</v>
      </c>
      <c r="F111" s="5"/>
      <c r="G111" s="5"/>
      <c r="H111" s="5"/>
      <c r="I111" s="5"/>
      <c r="J111" s="5"/>
    </row>
    <row r="112" spans="2:11" ht="84.6" thickBot="1">
      <c r="B112" s="39">
        <v>42401</v>
      </c>
      <c r="C112" s="32">
        <v>0.01</v>
      </c>
      <c r="D112" s="40" t="s">
        <v>393</v>
      </c>
      <c r="E112" s="32"/>
      <c r="F112" s="5"/>
      <c r="G112" s="5"/>
      <c r="H112" s="5"/>
      <c r="I112" s="5"/>
      <c r="J112" s="5"/>
    </row>
    <row r="113" spans="2:11" ht="15" thickBot="1">
      <c r="B113" s="1"/>
      <c r="C113" s="64"/>
      <c r="D113" s="5"/>
      <c r="E113" s="5"/>
      <c r="F113" s="5"/>
      <c r="G113" s="5"/>
      <c r="H113" s="5"/>
      <c r="I113" s="5"/>
      <c r="J113" s="5"/>
      <c r="K113" s="5"/>
    </row>
    <row r="114" spans="2:11" ht="15" thickBot="1">
      <c r="B114" s="4" t="s">
        <v>54</v>
      </c>
      <c r="C114" s="75"/>
      <c r="D114" s="5"/>
      <c r="E114" s="5"/>
      <c r="F114" s="5"/>
      <c r="G114" s="5"/>
      <c r="H114" s="5"/>
      <c r="I114" s="5"/>
      <c r="J114" s="5"/>
      <c r="K114" s="5"/>
    </row>
    <row r="115" spans="2:11">
      <c r="B115" s="1591" t="s">
        <v>394</v>
      </c>
      <c r="C115" s="1592"/>
      <c r="D115" s="1592"/>
      <c r="E115" s="1592"/>
      <c r="F115" s="1592"/>
      <c r="G115" s="1592"/>
      <c r="H115" s="1592"/>
      <c r="I115" s="1592"/>
      <c r="J115" s="1592"/>
      <c r="K115" s="5"/>
    </row>
    <row r="116" spans="2:11" ht="24" customHeight="1">
      <c r="B116" s="1591"/>
      <c r="C116" s="1592"/>
      <c r="D116" s="1592"/>
      <c r="E116" s="1592"/>
      <c r="F116" s="1592"/>
      <c r="G116" s="1592"/>
      <c r="H116" s="1592"/>
      <c r="I116" s="1592"/>
      <c r="J116" s="1592"/>
      <c r="K116" s="5"/>
    </row>
    <row r="117" spans="2:11">
      <c r="B117" s="1593"/>
      <c r="C117" s="1594"/>
      <c r="D117" s="1594"/>
      <c r="E117" s="1594"/>
      <c r="F117" s="1594"/>
      <c r="G117" s="1594"/>
      <c r="H117" s="1594"/>
      <c r="I117" s="1594"/>
      <c r="J117" s="1594"/>
      <c r="K117" s="5"/>
    </row>
    <row r="118" spans="2:11" ht="15" thickBot="1">
      <c r="B118" s="5"/>
      <c r="D118" s="5"/>
      <c r="E118" s="5"/>
      <c r="F118" s="5"/>
      <c r="G118" s="5"/>
      <c r="H118" s="5"/>
      <c r="I118" s="5"/>
      <c r="J118" s="5"/>
      <c r="K118" s="5"/>
    </row>
    <row r="119" spans="2:11" ht="15" thickBot="1">
      <c r="B119" s="1469" t="s">
        <v>55</v>
      </c>
      <c r="C119" s="1470"/>
      <c r="D119" s="1471"/>
      <c r="E119" s="5"/>
      <c r="F119" s="5"/>
      <c r="G119" s="5"/>
      <c r="H119" s="5"/>
      <c r="I119" s="5"/>
      <c r="J119" s="5"/>
      <c r="K119" s="5"/>
    </row>
    <row r="120" spans="2:11" ht="96.6" thickBot="1">
      <c r="B120" s="37" t="s">
        <v>56</v>
      </c>
      <c r="C120" s="2"/>
      <c r="D120" s="32" t="s">
        <v>348</v>
      </c>
      <c r="E120" s="5"/>
      <c r="F120" s="5"/>
      <c r="G120" s="5"/>
      <c r="H120" s="5"/>
      <c r="I120" s="5"/>
      <c r="J120" s="5"/>
      <c r="K120" s="5"/>
    </row>
    <row r="121" spans="2:11">
      <c r="B121" s="1459" t="s">
        <v>58</v>
      </c>
      <c r="C121" s="73"/>
      <c r="D121" s="43" t="s">
        <v>59</v>
      </c>
      <c r="E121" s="5"/>
      <c r="F121" s="5"/>
      <c r="G121" s="5"/>
      <c r="H121" s="5"/>
      <c r="I121" s="5"/>
      <c r="J121" s="5"/>
      <c r="K121" s="5"/>
    </row>
    <row r="122" spans="2:11" ht="60">
      <c r="B122" s="1460"/>
      <c r="C122" s="73"/>
      <c r="D122" s="36" t="s">
        <v>349</v>
      </c>
      <c r="E122" s="5"/>
      <c r="F122" s="5"/>
      <c r="G122" s="5"/>
      <c r="H122" s="5"/>
      <c r="I122" s="5"/>
      <c r="J122" s="5"/>
      <c r="K122" s="5"/>
    </row>
    <row r="123" spans="2:11" ht="36">
      <c r="B123" s="1460"/>
      <c r="C123" s="73"/>
      <c r="D123" s="36" t="s">
        <v>350</v>
      </c>
      <c r="E123" s="5"/>
      <c r="F123" s="5"/>
      <c r="G123" s="5"/>
      <c r="H123" s="5"/>
      <c r="I123" s="5"/>
      <c r="J123" s="5"/>
      <c r="K123" s="5"/>
    </row>
    <row r="124" spans="2:11">
      <c r="B124" s="1460"/>
      <c r="C124" s="73"/>
      <c r="D124" s="43" t="s">
        <v>62</v>
      </c>
      <c r="E124" s="5"/>
      <c r="F124" s="5"/>
      <c r="G124" s="5"/>
      <c r="H124" s="5"/>
      <c r="I124" s="5"/>
      <c r="J124" s="5"/>
      <c r="K124" s="5"/>
    </row>
    <row r="125" spans="2:11">
      <c r="B125" s="1460"/>
      <c r="C125" s="73"/>
      <c r="D125" s="36" t="s">
        <v>64</v>
      </c>
      <c r="E125" s="5"/>
      <c r="F125" s="5"/>
      <c r="G125" s="5"/>
      <c r="H125" s="5"/>
      <c r="I125" s="5"/>
      <c r="J125" s="5"/>
      <c r="K125" s="5"/>
    </row>
    <row r="126" spans="2:11">
      <c r="B126" s="1460"/>
      <c r="C126" s="73"/>
      <c r="D126" s="36" t="s">
        <v>351</v>
      </c>
      <c r="E126" s="5"/>
      <c r="F126" s="5"/>
      <c r="G126" s="5"/>
      <c r="H126" s="5"/>
      <c r="I126" s="5"/>
      <c r="J126" s="5"/>
      <c r="K126" s="5"/>
    </row>
    <row r="127" spans="2:11">
      <c r="B127" s="1460"/>
      <c r="C127" s="73"/>
      <c r="D127" s="43" t="s">
        <v>287</v>
      </c>
      <c r="E127" s="5"/>
      <c r="F127" s="5"/>
      <c r="G127" s="5"/>
      <c r="H127" s="5"/>
      <c r="I127" s="5"/>
      <c r="J127" s="5"/>
      <c r="K127" s="5"/>
    </row>
    <row r="128" spans="2:11" ht="24">
      <c r="B128" s="1460"/>
      <c r="C128" s="73"/>
      <c r="D128" s="36" t="s">
        <v>352</v>
      </c>
      <c r="E128" s="5"/>
      <c r="F128" s="5"/>
      <c r="G128" s="5"/>
      <c r="H128" s="5"/>
      <c r="I128" s="5"/>
      <c r="J128" s="5"/>
      <c r="K128" s="5"/>
    </row>
    <row r="129" spans="2:11" ht="24">
      <c r="B129" s="1460"/>
      <c r="C129" s="73"/>
      <c r="D129" s="36" t="s">
        <v>353</v>
      </c>
      <c r="E129" s="5"/>
      <c r="F129" s="5"/>
      <c r="G129" s="5"/>
      <c r="H129" s="5"/>
      <c r="I129" s="5"/>
      <c r="J129" s="5"/>
      <c r="K129" s="5"/>
    </row>
    <row r="130" spans="2:11" ht="15" thickBot="1">
      <c r="B130" s="1461"/>
      <c r="C130" s="2"/>
      <c r="D130" s="32" t="s">
        <v>354</v>
      </c>
      <c r="E130" s="5"/>
      <c r="F130" s="5"/>
      <c r="G130" s="5"/>
      <c r="H130" s="5"/>
      <c r="I130" s="5"/>
      <c r="J130" s="5"/>
      <c r="K130" s="5"/>
    </row>
    <row r="131" spans="2:11" ht="24.6" thickBot="1">
      <c r="B131" s="37" t="s">
        <v>71</v>
      </c>
      <c r="C131" s="2"/>
      <c r="D131" s="32"/>
      <c r="E131" s="5"/>
      <c r="F131" s="5"/>
      <c r="G131" s="5"/>
      <c r="H131" s="5"/>
      <c r="I131" s="5"/>
      <c r="J131" s="5"/>
      <c r="K131" s="5"/>
    </row>
    <row r="132" spans="2:11" ht="15" thickBot="1">
      <c r="B132" s="29"/>
      <c r="C132" s="67"/>
      <c r="D132" s="5"/>
      <c r="E132" s="5"/>
      <c r="F132" s="5"/>
      <c r="G132" s="5"/>
      <c r="H132" s="5"/>
      <c r="I132" s="5"/>
      <c r="J132" s="5"/>
      <c r="K132" s="5"/>
    </row>
    <row r="133" spans="2:11" ht="96">
      <c r="B133" s="1459" t="s">
        <v>72</v>
      </c>
      <c r="C133" s="84"/>
      <c r="D133" s="53" t="s">
        <v>355</v>
      </c>
      <c r="E133" s="5"/>
      <c r="F133" s="5"/>
      <c r="G133" s="5"/>
      <c r="H133" s="5"/>
      <c r="I133" s="5"/>
      <c r="J133" s="5"/>
      <c r="K133" s="5"/>
    </row>
    <row r="134" spans="2:11" ht="120">
      <c r="B134" s="1460"/>
      <c r="C134" s="73"/>
      <c r="D134" s="36" t="s">
        <v>356</v>
      </c>
      <c r="E134" s="5"/>
      <c r="F134" s="5"/>
      <c r="G134" s="5"/>
      <c r="H134" s="5"/>
      <c r="I134" s="5"/>
      <c r="J134" s="5"/>
      <c r="K134" s="5"/>
    </row>
    <row r="135" spans="2:11" ht="180">
      <c r="B135" s="1460"/>
      <c r="C135" s="73"/>
      <c r="D135" s="36" t="s">
        <v>357</v>
      </c>
      <c r="E135" s="5"/>
      <c r="F135" s="5"/>
      <c r="G135" s="5"/>
      <c r="H135" s="5"/>
      <c r="I135" s="5"/>
      <c r="J135" s="5"/>
      <c r="K135" s="5"/>
    </row>
    <row r="136" spans="2:11" ht="60">
      <c r="B136" s="1460"/>
      <c r="C136" s="73"/>
      <c r="D136" s="36" t="s">
        <v>358</v>
      </c>
      <c r="E136" s="5"/>
      <c r="F136" s="5"/>
      <c r="G136" s="5"/>
      <c r="H136" s="5"/>
      <c r="I136" s="5"/>
      <c r="J136" s="5"/>
      <c r="K136" s="5"/>
    </row>
    <row r="137" spans="2:11" ht="108.6" thickBot="1">
      <c r="B137" s="1461"/>
      <c r="C137" s="2"/>
      <c r="D137" s="32" t="s">
        <v>359</v>
      </c>
      <c r="E137" s="5"/>
      <c r="F137" s="5"/>
      <c r="G137" s="5"/>
      <c r="H137" s="5"/>
      <c r="I137" s="5"/>
      <c r="J137" s="5"/>
      <c r="K137" s="5"/>
    </row>
    <row r="138" spans="2:11">
      <c r="B138" s="1459" t="s">
        <v>89</v>
      </c>
      <c r="C138" s="73"/>
      <c r="D138" s="43"/>
      <c r="E138" s="5"/>
      <c r="F138" s="5"/>
      <c r="G138" s="5"/>
      <c r="H138" s="5"/>
      <c r="I138" s="5"/>
      <c r="J138" s="5"/>
      <c r="K138" s="5"/>
    </row>
    <row r="139" spans="2:11" ht="36">
      <c r="B139" s="1460"/>
      <c r="C139" s="73"/>
      <c r="D139" s="43" t="s">
        <v>347</v>
      </c>
      <c r="E139" s="5"/>
      <c r="F139" s="5"/>
      <c r="G139" s="5"/>
      <c r="H139" s="5"/>
      <c r="I139" s="5"/>
      <c r="J139" s="5"/>
      <c r="K139" s="5"/>
    </row>
    <row r="140" spans="2:11">
      <c r="B140" s="1460"/>
      <c r="C140" s="73"/>
      <c r="D140" s="13"/>
      <c r="E140" s="5"/>
      <c r="F140" s="5"/>
      <c r="G140" s="5"/>
      <c r="H140" s="5"/>
      <c r="I140" s="5"/>
      <c r="J140" s="5"/>
      <c r="K140" s="5"/>
    </row>
    <row r="141" spans="2:11">
      <c r="B141" s="1460"/>
      <c r="C141" s="73"/>
      <c r="D141" s="36" t="s">
        <v>90</v>
      </c>
      <c r="E141" s="5"/>
      <c r="F141" s="5"/>
      <c r="G141" s="5"/>
      <c r="H141" s="5"/>
      <c r="I141" s="5"/>
      <c r="J141" s="5"/>
      <c r="K141" s="5"/>
    </row>
    <row r="142" spans="2:11" ht="50.4">
      <c r="B142" s="1460"/>
      <c r="C142" s="73"/>
      <c r="D142" s="36" t="s">
        <v>360</v>
      </c>
      <c r="E142" s="5"/>
      <c r="F142" s="5"/>
      <c r="G142" s="5"/>
      <c r="H142" s="5"/>
      <c r="I142" s="5"/>
      <c r="J142" s="5"/>
      <c r="K142" s="5"/>
    </row>
    <row r="143" spans="2:11" ht="50.4">
      <c r="B143" s="1460"/>
      <c r="C143" s="73"/>
      <c r="D143" s="36" t="s">
        <v>361</v>
      </c>
      <c r="E143" s="5"/>
      <c r="F143" s="5"/>
      <c r="G143" s="5"/>
      <c r="H143" s="5"/>
      <c r="I143" s="5"/>
      <c r="J143" s="5"/>
      <c r="K143" s="5"/>
    </row>
    <row r="144" spans="2:11" ht="39" thickBot="1">
      <c r="B144" s="1461"/>
      <c r="C144" s="2"/>
      <c r="D144" s="32" t="s">
        <v>362</v>
      </c>
      <c r="E144" s="5"/>
      <c r="F144" s="5"/>
      <c r="G144" s="5"/>
      <c r="H144" s="5"/>
      <c r="I144" s="5"/>
      <c r="J144" s="5"/>
      <c r="K144" s="5"/>
    </row>
  </sheetData>
  <sheetProtection insertRows="0"/>
  <mergeCells count="55">
    <mergeCell ref="B115:J116"/>
    <mergeCell ref="B117:J117"/>
    <mergeCell ref="B119:D119"/>
    <mergeCell ref="B121:B130"/>
    <mergeCell ref="B133:B137"/>
    <mergeCell ref="B138:B144"/>
    <mergeCell ref="C17:C18"/>
    <mergeCell ref="D17:D18"/>
    <mergeCell ref="B102:B108"/>
    <mergeCell ref="D78:J78"/>
    <mergeCell ref="D79:J79"/>
    <mergeCell ref="D87:J87"/>
    <mergeCell ref="B88:B90"/>
    <mergeCell ref="D88:J88"/>
    <mergeCell ref="D89:J89"/>
    <mergeCell ref="D90:J90"/>
    <mergeCell ref="F73:F74"/>
    <mergeCell ref="G73:G74"/>
    <mergeCell ref="H73:H74"/>
    <mergeCell ref="D48:J48"/>
    <mergeCell ref="D49:J49"/>
    <mergeCell ref="D50:J50"/>
    <mergeCell ref="D38:J38"/>
    <mergeCell ref="D47:J47"/>
    <mergeCell ref="F17:F18"/>
    <mergeCell ref="D25:I25"/>
    <mergeCell ref="E17:E18"/>
    <mergeCell ref="G17:G18"/>
    <mergeCell ref="B92:E92"/>
    <mergeCell ref="B93:B99"/>
    <mergeCell ref="B101:E101"/>
    <mergeCell ref="D59:J59"/>
    <mergeCell ref="D60:J60"/>
    <mergeCell ref="D61:J61"/>
    <mergeCell ref="D70:J70"/>
    <mergeCell ref="D71:J71"/>
    <mergeCell ref="D72:J72"/>
    <mergeCell ref="I73:I74"/>
    <mergeCell ref="D73:D74"/>
    <mergeCell ref="E73:E74"/>
    <mergeCell ref="B16:B86"/>
    <mergeCell ref="D27:J27"/>
    <mergeCell ref="D36:J36"/>
    <mergeCell ref="D37:J37"/>
    <mergeCell ref="E15:R15"/>
    <mergeCell ref="A1:P1"/>
    <mergeCell ref="A2:P2"/>
    <mergeCell ref="A3:P3"/>
    <mergeCell ref="A4:D4"/>
    <mergeCell ref="A5:P5"/>
    <mergeCell ref="B11:D11"/>
    <mergeCell ref="F11:S11"/>
    <mergeCell ref="F12:S12"/>
    <mergeCell ref="E13:R13"/>
    <mergeCell ref="E14:R14"/>
  </mergeCells>
  <conditionalFormatting sqref="E13:R13">
    <cfRule type="expression" dxfId="91" priority="3">
      <formula>E12="SI SE REPORTA"</formula>
    </cfRule>
  </conditionalFormatting>
  <conditionalFormatting sqref="F11">
    <cfRule type="notContainsBlanks" dxfId="90" priority="6">
      <formula>LEN(TRIM(F11))&gt;0</formula>
    </cfRule>
  </conditionalFormatting>
  <conditionalFormatting sqref="F12:S12">
    <cfRule type="expression" dxfId="89" priority="1">
      <formula>E12="NO SE REPORTA"</formula>
    </cfRule>
    <cfRule type="expression" dxfId="88" priority="2">
      <formula>E11="NO APLICA"</formula>
    </cfRule>
  </conditionalFormatting>
  <dataValidations count="6">
    <dataValidation type="whole" operator="greaterThanOrEqual" allowBlank="1" showErrorMessage="1" errorTitle="ERROR" error="Escriba un número igual o mayor que 0" promptTitle="ERROR" prompt="Escriba un número igual o mayor que 0" sqref="E19:F19 E29:H34 E23:F23 E52:H57" xr:uid="{00000000-0002-0000-0D00-000000000000}">
      <formula1>0</formula1>
    </dataValidation>
    <dataValidation type="whole" operator="greaterThanOrEqual" allowBlank="1" showInputMessage="1" showErrorMessage="1" errorTitle="ERROR" error="Valor en HECTAREAS (sin decimales)_x000a_" sqref="E40:H45 E20:F22 G75:H77 E63:H68" xr:uid="{00000000-0002-0000-0D00-000001000000}">
      <formula1>0</formula1>
    </dataValidation>
    <dataValidation allowBlank="1" showInputMessage="1" showErrorMessage="1" promptTitle="ESTADO" prompt="en preparación_x000a_en aprestamiento_x000a_en declaración_x000a_Declarado" sqref="I75:I77" xr:uid="{00000000-0002-0000-0D00-000002000000}"/>
    <dataValidation allowBlank="1" showInputMessage="1" showErrorMessage="1" sqref="I40 E46:H46 I52 E69:H69 I63 E58:H58 E24:F24 I29" xr:uid="{00000000-0002-0000-0D00-000003000000}"/>
    <dataValidation type="list" allowBlank="1" showInputMessage="1" showErrorMessage="1" sqref="E12" xr:uid="{00000000-0002-0000-0D00-000004000000}">
      <formula1>REPORTE</formula1>
    </dataValidation>
    <dataValidation type="list" allowBlank="1" showInputMessage="1" showErrorMessage="1" sqref="E11" xr:uid="{00000000-0002-0000-0D00-000005000000}">
      <formula1>SI</formula1>
    </dataValidation>
  </dataValidations>
  <hyperlinks>
    <hyperlink ref="B10" location="'ANEXO 3'!A1" display="VOLVER AL INDICE" xr:uid="{00000000-0004-0000-0D00-000000000000}"/>
    <hyperlink ref="E97" r:id="rId1" xr:uid="{00000000-0004-0000-0D00-000001000000}"/>
  </hyperlinks>
  <pageMargins left="0.25" right="0.25" top="0.75" bottom="0.75" header="0.3" footer="0.3"/>
  <pageSetup paperSize="178" orientation="landscape" horizontalDpi="1200" verticalDpi="1200" r:id="rId2"/>
  <drawing r:id="rId3"/>
  <legacy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20">
    <tabColor theme="0"/>
  </sheetPr>
  <dimension ref="A1:U89"/>
  <sheetViews>
    <sheetView showGridLines="0" zoomScale="98" zoomScaleNormal="98" workbookViewId="0">
      <selection activeCell="A11" sqref="A11"/>
    </sheetView>
  </sheetViews>
  <sheetFormatPr baseColWidth="10" defaultRowHeight="14.4"/>
  <cols>
    <col min="1" max="1" width="1.88671875" customWidth="1"/>
    <col min="2" max="2" width="12.88671875" customWidth="1"/>
    <col min="3" max="3" width="5" style="66" bestFit="1" customWidth="1"/>
    <col min="4" max="4" width="34.88671875" customWidth="1"/>
    <col min="5" max="5" width="13.5546875" customWidth="1"/>
  </cols>
  <sheetData>
    <row r="1" spans="1:21" s="314" customFormat="1" ht="100.5" customHeight="1" thickBot="1">
      <c r="A1" s="1421"/>
      <c r="B1" s="1422"/>
      <c r="C1" s="1422"/>
      <c r="D1" s="1422"/>
      <c r="E1" s="1422"/>
      <c r="F1" s="1422"/>
      <c r="G1" s="1422"/>
      <c r="H1" s="1422"/>
      <c r="I1" s="1422"/>
      <c r="J1" s="1422"/>
      <c r="K1" s="1422"/>
      <c r="L1" s="1422"/>
      <c r="M1" s="1422"/>
      <c r="N1" s="1422"/>
      <c r="O1" s="1422"/>
      <c r="P1" s="1423"/>
      <c r="Q1"/>
      <c r="R1"/>
    </row>
    <row r="2" spans="1:21" s="315" customFormat="1" ht="16.2" thickBot="1">
      <c r="A2" s="1418" t="str">
        <f>+'Datos Generales'!C5</f>
        <v>Corporación Autónoma Regional del Atlántico – CRA</v>
      </c>
      <c r="B2" s="1419"/>
      <c r="C2" s="1419"/>
      <c r="D2" s="1419"/>
      <c r="E2" s="1419"/>
      <c r="F2" s="1419"/>
      <c r="G2" s="1419"/>
      <c r="H2" s="1419"/>
      <c r="I2" s="1419"/>
      <c r="J2" s="1419"/>
      <c r="K2" s="1419"/>
      <c r="L2" s="1419"/>
      <c r="M2" s="1419"/>
      <c r="N2" s="1419"/>
      <c r="O2" s="1419"/>
      <c r="P2" s="1420"/>
      <c r="Q2"/>
      <c r="R2"/>
    </row>
    <row r="3" spans="1:21" s="315" customFormat="1" ht="16.2" thickBot="1">
      <c r="A3" s="1426" t="s">
        <v>1295</v>
      </c>
      <c r="B3" s="1427"/>
      <c r="C3" s="1427"/>
      <c r="D3" s="1427"/>
      <c r="E3" s="1427"/>
      <c r="F3" s="1427"/>
      <c r="G3" s="1427"/>
      <c r="H3" s="1427"/>
      <c r="I3" s="1427"/>
      <c r="J3" s="1427"/>
      <c r="K3" s="1427"/>
      <c r="L3" s="1427"/>
      <c r="M3" s="1427"/>
      <c r="N3" s="1427"/>
      <c r="O3" s="1427"/>
      <c r="P3" s="1428"/>
      <c r="Q3"/>
      <c r="R3"/>
    </row>
    <row r="4" spans="1:21" s="315" customFormat="1" ht="16.2" thickBot="1">
      <c r="A4" s="1424" t="s">
        <v>1294</v>
      </c>
      <c r="B4" s="1425"/>
      <c r="C4" s="1425"/>
      <c r="D4" s="1425"/>
      <c r="E4" s="322" t="str">
        <f>+'Datos Generales'!C6</f>
        <v>2023-II</v>
      </c>
      <c r="F4" s="322"/>
      <c r="G4" s="322"/>
      <c r="H4" s="322"/>
      <c r="I4" s="322"/>
      <c r="J4" s="322"/>
      <c r="K4" s="322"/>
      <c r="L4" s="323"/>
      <c r="M4" s="323"/>
      <c r="N4" s="323"/>
      <c r="O4" s="323"/>
      <c r="P4" s="324"/>
      <c r="Q4"/>
      <c r="R4"/>
    </row>
    <row r="5" spans="1:21" ht="16.5" customHeight="1" thickBot="1">
      <c r="A5" s="1426" t="s">
        <v>395</v>
      </c>
      <c r="B5" s="1427"/>
      <c r="C5" s="1427"/>
      <c r="D5" s="1427"/>
      <c r="E5" s="1427"/>
      <c r="F5" s="1427"/>
      <c r="G5" s="1427"/>
      <c r="H5" s="1427"/>
      <c r="I5" s="1427"/>
      <c r="J5" s="1427"/>
      <c r="K5" s="1427"/>
      <c r="L5" s="1427"/>
      <c r="M5" s="1427"/>
      <c r="N5" s="1427"/>
      <c r="O5" s="1427"/>
      <c r="P5" s="1428"/>
    </row>
    <row r="6" spans="1:21">
      <c r="B6" s="1" t="s">
        <v>1</v>
      </c>
      <c r="C6" s="64"/>
      <c r="D6" s="5"/>
      <c r="E6" s="62"/>
      <c r="F6" s="5" t="s">
        <v>127</v>
      </c>
      <c r="G6" s="5"/>
      <c r="H6" s="5"/>
      <c r="I6" s="5"/>
      <c r="J6" s="5"/>
      <c r="K6" s="5"/>
    </row>
    <row r="7" spans="1:21" ht="15" thickBot="1">
      <c r="B7" s="63"/>
      <c r="C7" s="65"/>
      <c r="D7" s="5"/>
      <c r="E7" s="14"/>
      <c r="F7" s="5" t="s">
        <v>128</v>
      </c>
      <c r="G7" s="5"/>
      <c r="H7" s="5"/>
      <c r="I7" s="5"/>
      <c r="J7" s="5"/>
      <c r="K7" s="5"/>
    </row>
    <row r="8" spans="1:21" ht="15" thickBot="1">
      <c r="B8" s="144" t="s">
        <v>1180</v>
      </c>
      <c r="C8" s="167">
        <v>2022</v>
      </c>
      <c r="D8" s="171" t="str">
        <f>IF(E10="NO APLICA","NO APLICA",IF(E11="NO SE REPORTA","SIN INFORMACION",+F20))</f>
        <v>NO APLICA</v>
      </c>
      <c r="E8" s="168"/>
      <c r="F8" s="5" t="s">
        <v>129</v>
      </c>
      <c r="G8" s="5"/>
      <c r="H8" s="5"/>
      <c r="I8" s="5"/>
      <c r="J8" s="5"/>
      <c r="K8" s="5"/>
    </row>
    <row r="9" spans="1:21">
      <c r="B9" s="300" t="s">
        <v>1181</v>
      </c>
      <c r="D9" s="5"/>
      <c r="E9" s="5"/>
      <c r="F9" s="5"/>
      <c r="G9" s="5"/>
      <c r="H9" s="5"/>
      <c r="I9" s="5"/>
      <c r="J9" s="5"/>
      <c r="K9" s="5"/>
    </row>
    <row r="10" spans="1:21">
      <c r="B10" s="1429" t="s">
        <v>1236</v>
      </c>
      <c r="C10" s="1429"/>
      <c r="D10" s="1429"/>
      <c r="E10" s="303" t="s">
        <v>1232</v>
      </c>
      <c r="F10" s="1436"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xml:space="preserve">      ESCRIBA EL NÚMERO DEL ACUERDO DEL CONSEJO DIRECTIVO EN EL CUAL DECIDE LA NO PROCEDENCIA DE LA APLICACIÓN DEL INDICADOR</v>
      </c>
      <c r="G10" s="1437"/>
      <c r="H10" s="1437"/>
      <c r="I10" s="1437"/>
      <c r="J10" s="1437"/>
      <c r="K10" s="1437"/>
      <c r="L10" s="1437"/>
      <c r="M10" s="1437"/>
      <c r="N10" s="1437"/>
      <c r="O10" s="1437"/>
      <c r="P10" s="1437"/>
      <c r="Q10" s="1437"/>
      <c r="R10" s="1437"/>
      <c r="S10" s="1437"/>
      <c r="T10" s="5"/>
      <c r="U10" s="5"/>
    </row>
    <row r="11" spans="1:21" ht="14.4" customHeight="1">
      <c r="B11" s="302"/>
      <c r="C11" s="67"/>
      <c r="D11" s="144" t="str">
        <f>IF(E10="SI APLICA","¿El indicador no se reporta por limitaciones de información disponible? ","")</f>
        <v/>
      </c>
      <c r="E11" s="304" t="s">
        <v>1234</v>
      </c>
      <c r="F11" s="1430" t="s">
        <v>1828</v>
      </c>
      <c r="G11" s="1431"/>
      <c r="H11" s="1431"/>
      <c r="I11" s="1431"/>
      <c r="J11" s="1431"/>
      <c r="K11" s="1431"/>
      <c r="L11" s="1431"/>
      <c r="M11" s="1431"/>
      <c r="N11" s="1431"/>
      <c r="O11" s="1431"/>
      <c r="P11" s="1431"/>
      <c r="Q11" s="1431"/>
      <c r="R11" s="1431"/>
      <c r="S11" s="1431"/>
    </row>
    <row r="12" spans="1:21" ht="23.4" customHeight="1">
      <c r="B12" s="300"/>
      <c r="C12" s="67"/>
      <c r="D12" s="144" t="str">
        <f>IF(E11="SI SE REPORTA","¿Qué programas o proyectos del Plan de Acción están asociados al indicador? ","")</f>
        <v/>
      </c>
      <c r="E12" s="1432"/>
      <c r="F12" s="1432"/>
      <c r="G12" s="1432"/>
      <c r="H12" s="1432"/>
      <c r="I12" s="1432"/>
      <c r="J12" s="1432"/>
      <c r="K12" s="1432"/>
      <c r="L12" s="1432"/>
      <c r="M12" s="1432"/>
      <c r="N12" s="1432"/>
      <c r="O12" s="1432"/>
      <c r="P12" s="1432"/>
      <c r="Q12" s="1432"/>
      <c r="R12" s="1432"/>
    </row>
    <row r="13" spans="1:21" ht="21.9" customHeight="1">
      <c r="B13" s="300"/>
      <c r="C13" s="67"/>
      <c r="D13" s="144" t="s">
        <v>1238</v>
      </c>
      <c r="E13" s="1596" t="s">
        <v>1835</v>
      </c>
      <c r="F13" s="1597"/>
      <c r="G13" s="1597"/>
      <c r="H13" s="1597"/>
      <c r="I13" s="1597"/>
      <c r="J13" s="1597"/>
      <c r="K13" s="1597"/>
      <c r="L13" s="1597"/>
      <c r="M13" s="1597"/>
      <c r="N13" s="1597"/>
      <c r="O13" s="1597"/>
      <c r="P13" s="1597"/>
      <c r="Q13" s="1597"/>
      <c r="R13" s="1598"/>
    </row>
    <row r="14" spans="1:21" ht="6.9" customHeight="1" thickBot="1">
      <c r="B14" s="300"/>
      <c r="D14" s="5"/>
      <c r="E14" s="5"/>
      <c r="F14" s="5"/>
      <c r="G14" s="5"/>
      <c r="H14" s="5"/>
      <c r="I14" s="5"/>
      <c r="J14" s="5"/>
      <c r="K14" s="5"/>
    </row>
    <row r="15" spans="1:21" ht="15" thickTop="1">
      <c r="B15" s="1595" t="s">
        <v>2</v>
      </c>
      <c r="C15" s="68"/>
      <c r="D15" s="1450" t="s">
        <v>335</v>
      </c>
      <c r="E15" s="1451"/>
      <c r="F15" s="1451"/>
      <c r="G15" s="1451"/>
      <c r="H15" s="1451"/>
      <c r="I15" s="1451"/>
      <c r="J15" s="1452"/>
      <c r="K15" s="5"/>
    </row>
    <row r="16" spans="1:21" ht="15" thickBot="1">
      <c r="B16" s="1460"/>
      <c r="C16" s="71"/>
      <c r="D16" s="1444" t="s">
        <v>410</v>
      </c>
      <c r="E16" s="1445"/>
      <c r="F16" s="1445"/>
      <c r="G16" s="1445"/>
      <c r="H16" s="1445"/>
      <c r="I16" s="1445"/>
      <c r="J16" s="1446"/>
      <c r="K16" s="5"/>
    </row>
    <row r="17" spans="2:11" ht="15" thickBot="1">
      <c r="B17" s="1460"/>
      <c r="C17" s="73"/>
      <c r="D17" s="30" t="s">
        <v>411</v>
      </c>
      <c r="E17" s="34" t="s">
        <v>1717</v>
      </c>
      <c r="F17" s="30" t="s">
        <v>19</v>
      </c>
      <c r="G17" s="30" t="s">
        <v>20</v>
      </c>
      <c r="H17" s="30" t="s">
        <v>21</v>
      </c>
      <c r="I17" s="30" t="s">
        <v>22</v>
      </c>
      <c r="J17" s="30" t="s">
        <v>150</v>
      </c>
      <c r="K17" s="5"/>
    </row>
    <row r="18" spans="2:11" ht="24.6" thickBot="1">
      <c r="B18" s="1460"/>
      <c r="C18" s="73"/>
      <c r="D18" s="32" t="s">
        <v>412</v>
      </c>
      <c r="E18" s="312"/>
      <c r="F18" s="162"/>
      <c r="G18" s="162"/>
      <c r="H18" s="162"/>
      <c r="I18" s="162"/>
      <c r="J18" s="33">
        <f>SUM(F18:I18)</f>
        <v>0</v>
      </c>
      <c r="K18" s="15"/>
    </row>
    <row r="19" spans="2:11" ht="36.6" thickBot="1">
      <c r="B19" s="1460"/>
      <c r="C19" s="73"/>
      <c r="D19" s="32" t="s">
        <v>413</v>
      </c>
      <c r="E19" s="162"/>
      <c r="F19" s="162"/>
      <c r="G19" s="162"/>
      <c r="H19" s="162"/>
      <c r="I19" s="162"/>
      <c r="J19" s="33">
        <f>SUM(F19:I19)</f>
        <v>0</v>
      </c>
      <c r="K19" s="15"/>
    </row>
    <row r="20" spans="2:11" ht="36.6" thickBot="1">
      <c r="B20" s="1460"/>
      <c r="C20" s="2"/>
      <c r="D20" s="32" t="s">
        <v>395</v>
      </c>
      <c r="E20" s="148" t="str">
        <f t="shared" ref="E20:J20" si="0">IFERROR(E19/E18,"N.A.")</f>
        <v>N.A.</v>
      </c>
      <c r="F20" s="148" t="str">
        <f t="shared" si="0"/>
        <v>N.A.</v>
      </c>
      <c r="G20" s="148" t="str">
        <f t="shared" si="0"/>
        <v>N.A.</v>
      </c>
      <c r="H20" s="148" t="str">
        <f t="shared" si="0"/>
        <v>N.A.</v>
      </c>
      <c r="I20" s="148" t="str">
        <f t="shared" si="0"/>
        <v>N.A.</v>
      </c>
      <c r="J20" s="148" t="str">
        <f t="shared" si="0"/>
        <v>N.A.</v>
      </c>
      <c r="K20" s="15"/>
    </row>
    <row r="21" spans="2:11" ht="11.1" customHeight="1" thickBot="1">
      <c r="B21" s="175"/>
      <c r="C21" s="68"/>
      <c r="D21" s="1444" t="s">
        <v>1184</v>
      </c>
      <c r="E21" s="1445"/>
      <c r="F21" s="1445"/>
      <c r="G21" s="1445"/>
      <c r="H21" s="1445"/>
      <c r="I21" s="1445"/>
      <c r="J21" s="1446"/>
      <c r="K21" s="5"/>
    </row>
    <row r="22" spans="2:11" ht="24.6" thickBot="1">
      <c r="B22" s="175"/>
      <c r="C22" s="71"/>
      <c r="D22" s="42" t="s">
        <v>1185</v>
      </c>
      <c r="E22" s="186" t="s">
        <v>1186</v>
      </c>
      <c r="F22" s="53" t="s">
        <v>386</v>
      </c>
      <c r="G22" s="243"/>
      <c r="H22" s="244"/>
      <c r="I22" s="244"/>
      <c r="J22" s="245"/>
      <c r="K22" s="5"/>
    </row>
    <row r="23" spans="2:11" s="151" customFormat="1" ht="15" thickBot="1">
      <c r="B23" s="172"/>
      <c r="C23" s="180"/>
      <c r="D23" s="237"/>
      <c r="E23" s="410"/>
      <c r="F23" s="206"/>
      <c r="G23" s="238"/>
      <c r="J23" s="239"/>
      <c r="K23" s="15"/>
    </row>
    <row r="24" spans="2:11" s="151" customFormat="1" ht="15" thickBot="1">
      <c r="B24" s="172"/>
      <c r="C24" s="180"/>
      <c r="D24" s="237"/>
      <c r="E24" s="206"/>
      <c r="F24" s="206"/>
      <c r="G24" s="238"/>
      <c r="J24" s="239"/>
      <c r="K24" s="15"/>
    </row>
    <row r="25" spans="2:11" s="151" customFormat="1" ht="15" thickBot="1">
      <c r="B25" s="172"/>
      <c r="C25" s="180"/>
      <c r="D25" s="237"/>
      <c r="E25" s="206"/>
      <c r="F25" s="206"/>
      <c r="G25" s="238"/>
      <c r="J25" s="239"/>
      <c r="K25" s="15"/>
    </row>
    <row r="26" spans="2:11" s="151" customFormat="1" ht="15" thickBot="1">
      <c r="B26" s="172"/>
      <c r="C26" s="180"/>
      <c r="D26" s="237"/>
      <c r="E26" s="206"/>
      <c r="F26" s="206"/>
      <c r="G26" s="238"/>
      <c r="J26" s="239"/>
      <c r="K26" s="15"/>
    </row>
    <row r="27" spans="2:11" s="151" customFormat="1" ht="15" thickBot="1">
      <c r="B27" s="172"/>
      <c r="C27" s="180"/>
      <c r="D27" s="237"/>
      <c r="E27" s="206"/>
      <c r="F27" s="206"/>
      <c r="G27" s="238"/>
      <c r="J27" s="239"/>
      <c r="K27" s="15"/>
    </row>
    <row r="28" spans="2:11" s="151" customFormat="1" ht="15" thickBot="1">
      <c r="B28" s="172"/>
      <c r="C28" s="180"/>
      <c r="D28" s="237"/>
      <c r="E28" s="206"/>
      <c r="F28" s="206"/>
      <c r="G28" s="238"/>
      <c r="J28" s="239"/>
      <c r="K28" s="15"/>
    </row>
    <row r="29" spans="2:11" s="151" customFormat="1" ht="15" thickBot="1">
      <c r="B29" s="172"/>
      <c r="C29" s="180"/>
      <c r="D29" s="237"/>
      <c r="E29" s="206"/>
      <c r="F29" s="206"/>
      <c r="G29" s="238"/>
      <c r="J29" s="239"/>
      <c r="K29" s="15"/>
    </row>
    <row r="30" spans="2:11" s="151" customFormat="1" ht="15" thickBot="1">
      <c r="B30" s="172"/>
      <c r="C30" s="180"/>
      <c r="D30" s="237"/>
      <c r="E30" s="206"/>
      <c r="F30" s="206"/>
      <c r="G30" s="238"/>
      <c r="J30" s="239"/>
      <c r="K30" s="15"/>
    </row>
    <row r="31" spans="2:11" s="151" customFormat="1" ht="15" thickBot="1">
      <c r="B31" s="172"/>
      <c r="C31" s="180"/>
      <c r="D31" s="237"/>
      <c r="E31" s="206"/>
      <c r="F31" s="206"/>
      <c r="G31" s="238"/>
      <c r="J31" s="239"/>
      <c r="K31" s="15"/>
    </row>
    <row r="32" spans="2:11" s="151" customFormat="1" ht="15" thickBot="1">
      <c r="B32" s="172"/>
      <c r="C32" s="180"/>
      <c r="D32" s="237"/>
      <c r="E32" s="206"/>
      <c r="F32" s="206"/>
      <c r="G32" s="238"/>
      <c r="J32" s="239"/>
      <c r="K32" s="15"/>
    </row>
    <row r="33" spans="2:11" s="151" customFormat="1" ht="15" thickBot="1">
      <c r="B33" s="172"/>
      <c r="C33" s="180"/>
      <c r="D33" s="25"/>
      <c r="E33" s="25"/>
      <c r="F33" s="25"/>
      <c r="G33" s="238"/>
      <c r="J33" s="239"/>
    </row>
    <row r="34" spans="2:11" s="151" customFormat="1" ht="15" thickBot="1">
      <c r="B34" s="172"/>
      <c r="C34" s="180"/>
      <c r="D34" s="25"/>
      <c r="E34" s="25"/>
      <c r="F34" s="25"/>
      <c r="G34" s="238"/>
      <c r="J34" s="239"/>
    </row>
    <row r="35" spans="2:11" s="151" customFormat="1" ht="15" thickBot="1">
      <c r="B35" s="173"/>
      <c r="C35" s="176"/>
      <c r="D35" s="25"/>
      <c r="E35" s="25"/>
      <c r="F35" s="25"/>
      <c r="G35" s="240"/>
      <c r="H35" s="241"/>
      <c r="I35" s="241"/>
      <c r="J35" s="242"/>
    </row>
    <row r="36" spans="2:11" ht="15" thickBot="1">
      <c r="B36" s="37" t="s">
        <v>33</v>
      </c>
      <c r="C36" s="72"/>
      <c r="D36" s="1462" t="s">
        <v>414</v>
      </c>
      <c r="E36" s="1463"/>
      <c r="F36" s="1463"/>
      <c r="G36" s="1463"/>
      <c r="H36" s="1463"/>
      <c r="I36" s="1463"/>
      <c r="J36" s="1464"/>
    </row>
    <row r="37" spans="2:11" ht="24.6" thickBot="1">
      <c r="B37" s="37" t="s">
        <v>35</v>
      </c>
      <c r="C37" s="72"/>
      <c r="D37" s="1462" t="s">
        <v>345</v>
      </c>
      <c r="E37" s="1463"/>
      <c r="F37" s="1463"/>
      <c r="G37" s="1463"/>
      <c r="H37" s="1463"/>
      <c r="I37" s="1463"/>
      <c r="J37" s="1464"/>
    </row>
    <row r="38" spans="2:11" ht="15" thickBot="1">
      <c r="B38" s="107"/>
      <c r="C38" s="80"/>
      <c r="D38" s="107"/>
      <c r="E38" s="107"/>
      <c r="F38" s="107"/>
      <c r="G38" s="107"/>
      <c r="H38" s="107"/>
      <c r="I38" s="107"/>
      <c r="J38" s="107"/>
      <c r="K38" s="5"/>
    </row>
    <row r="39" spans="2:11" ht="24" customHeight="1" thickBot="1">
      <c r="B39" s="1469" t="s">
        <v>37</v>
      </c>
      <c r="C39" s="1470"/>
      <c r="D39" s="1470"/>
      <c r="E39" s="1471"/>
      <c r="F39" s="5"/>
      <c r="G39" s="5"/>
      <c r="H39" s="5"/>
      <c r="I39" s="5"/>
      <c r="J39" s="5"/>
      <c r="K39" s="5"/>
    </row>
    <row r="40" spans="2:11" ht="15" thickBot="1">
      <c r="B40" s="1459">
        <v>1</v>
      </c>
      <c r="C40" s="73"/>
      <c r="D40" s="38" t="s">
        <v>38</v>
      </c>
      <c r="E40" s="25"/>
      <c r="F40" s="5"/>
      <c r="G40" s="5"/>
      <c r="H40" s="5"/>
      <c r="I40" s="5"/>
      <c r="J40" s="5"/>
      <c r="K40" s="5"/>
    </row>
    <row r="41" spans="2:11" ht="15" thickBot="1">
      <c r="B41" s="1460"/>
      <c r="C41" s="73"/>
      <c r="D41" s="32" t="s">
        <v>39</v>
      </c>
      <c r="E41" s="25"/>
      <c r="F41" s="5"/>
      <c r="G41" s="5"/>
      <c r="H41" s="5"/>
      <c r="I41" s="5"/>
      <c r="J41" s="5"/>
      <c r="K41" s="5"/>
    </row>
    <row r="42" spans="2:11" ht="15" thickBot="1">
      <c r="B42" s="1460"/>
      <c r="C42" s="73"/>
      <c r="D42" s="32" t="s">
        <v>40</v>
      </c>
      <c r="E42" s="25"/>
      <c r="F42" s="5"/>
      <c r="G42" s="5"/>
      <c r="H42" s="5"/>
      <c r="I42" s="5"/>
      <c r="J42" s="5"/>
      <c r="K42" s="5"/>
    </row>
    <row r="43" spans="2:11" ht="15" thickBot="1">
      <c r="B43" s="1460"/>
      <c r="C43" s="73"/>
      <c r="D43" s="32" t="s">
        <v>41</v>
      </c>
      <c r="E43" s="25"/>
      <c r="F43" s="5"/>
      <c r="G43" s="5"/>
      <c r="H43" s="5"/>
      <c r="I43" s="5"/>
      <c r="J43" s="5"/>
      <c r="K43" s="5"/>
    </row>
    <row r="44" spans="2:11" ht="15" thickBot="1">
      <c r="B44" s="1460"/>
      <c r="C44" s="73"/>
      <c r="D44" s="32" t="s">
        <v>42</v>
      </c>
      <c r="E44" s="25"/>
      <c r="F44" s="5"/>
      <c r="G44" s="5"/>
      <c r="H44" s="5"/>
      <c r="I44" s="5"/>
      <c r="J44" s="5"/>
      <c r="K44" s="5"/>
    </row>
    <row r="45" spans="2:11" ht="15" thickBot="1">
      <c r="B45" s="1460"/>
      <c r="C45" s="73"/>
      <c r="D45" s="32" t="s">
        <v>43</v>
      </c>
      <c r="E45" s="25"/>
      <c r="F45" s="5"/>
      <c r="G45" s="5"/>
      <c r="H45" s="5"/>
      <c r="I45" s="5"/>
      <c r="J45" s="5"/>
      <c r="K45" s="5"/>
    </row>
    <row r="46" spans="2:11" ht="15" thickBot="1">
      <c r="B46" s="1461"/>
      <c r="C46" s="2"/>
      <c r="D46" s="32" t="s">
        <v>44</v>
      </c>
      <c r="E46" s="25"/>
      <c r="F46" s="5"/>
      <c r="G46" s="5"/>
      <c r="H46" s="5"/>
      <c r="I46" s="5"/>
      <c r="J46" s="5"/>
      <c r="K46" s="5"/>
    </row>
    <row r="47" spans="2:11" ht="15" thickBot="1">
      <c r="B47" s="1"/>
      <c r="C47" s="64"/>
      <c r="D47" s="5"/>
      <c r="E47" s="5"/>
      <c r="F47" s="5"/>
      <c r="G47" s="5"/>
      <c r="H47" s="5"/>
      <c r="I47" s="5"/>
      <c r="J47" s="5"/>
      <c r="K47" s="5"/>
    </row>
    <row r="48" spans="2:11" ht="15" thickBot="1">
      <c r="B48" s="1469" t="s">
        <v>45</v>
      </c>
      <c r="C48" s="1470"/>
      <c r="D48" s="1470"/>
      <c r="E48" s="1471"/>
      <c r="F48" s="5"/>
      <c r="G48" s="5"/>
      <c r="H48" s="5"/>
      <c r="I48" s="5"/>
      <c r="J48" s="5"/>
      <c r="K48" s="5"/>
    </row>
    <row r="49" spans="2:11" ht="15" thickBot="1">
      <c r="B49" s="1459">
        <v>1</v>
      </c>
      <c r="C49" s="73"/>
      <c r="D49" s="38" t="s">
        <v>38</v>
      </c>
      <c r="E49" s="177" t="s">
        <v>46</v>
      </c>
      <c r="F49" s="5"/>
      <c r="G49" s="5"/>
      <c r="H49" s="5"/>
      <c r="I49" s="5"/>
      <c r="J49" s="5"/>
      <c r="K49" s="5"/>
    </row>
    <row r="50" spans="2:11" ht="15" thickBot="1">
      <c r="B50" s="1460"/>
      <c r="C50" s="73"/>
      <c r="D50" s="32" t="s">
        <v>39</v>
      </c>
      <c r="E50" s="177" t="s">
        <v>47</v>
      </c>
      <c r="F50" s="5"/>
      <c r="G50" s="5"/>
      <c r="H50" s="5"/>
      <c r="I50" s="5"/>
      <c r="J50" s="5"/>
      <c r="K50" s="5"/>
    </row>
    <row r="51" spans="2:11" ht="15" thickBot="1">
      <c r="B51" s="1460"/>
      <c r="C51" s="73"/>
      <c r="D51" s="32" t="s">
        <v>40</v>
      </c>
      <c r="E51" s="194"/>
      <c r="F51" s="5"/>
      <c r="G51" s="5"/>
      <c r="H51" s="5"/>
      <c r="I51" s="5"/>
      <c r="J51" s="5"/>
      <c r="K51" s="5"/>
    </row>
    <row r="52" spans="2:11" ht="15" thickBot="1">
      <c r="B52" s="1460"/>
      <c r="C52" s="73"/>
      <c r="D52" s="32" t="s">
        <v>41</v>
      </c>
      <c r="E52" s="194"/>
      <c r="F52" s="5"/>
      <c r="G52" s="5"/>
      <c r="H52" s="5"/>
      <c r="I52" s="5"/>
      <c r="J52" s="5"/>
      <c r="K52" s="5"/>
    </row>
    <row r="53" spans="2:11" ht="15" thickBot="1">
      <c r="B53" s="1460"/>
      <c r="C53" s="73"/>
      <c r="D53" s="32" t="s">
        <v>42</v>
      </c>
      <c r="E53" s="194"/>
      <c r="F53" s="5"/>
      <c r="G53" s="5"/>
      <c r="H53" s="5"/>
      <c r="I53" s="5"/>
      <c r="J53" s="5"/>
      <c r="K53" s="5"/>
    </row>
    <row r="54" spans="2:11" ht="15" thickBot="1">
      <c r="B54" s="1460"/>
      <c r="C54" s="73"/>
      <c r="D54" s="32" t="s">
        <v>43</v>
      </c>
      <c r="E54" s="194"/>
      <c r="F54" s="5"/>
      <c r="G54" s="5"/>
      <c r="H54" s="5"/>
      <c r="I54" s="5"/>
      <c r="J54" s="5"/>
      <c r="K54" s="5"/>
    </row>
    <row r="55" spans="2:11" ht="15" thickBot="1">
      <c r="B55" s="1461"/>
      <c r="C55" s="2"/>
      <c r="D55" s="32" t="s">
        <v>44</v>
      </c>
      <c r="E55" s="194"/>
      <c r="F55" s="5"/>
      <c r="G55" s="5"/>
      <c r="H55" s="5"/>
      <c r="I55" s="5"/>
      <c r="J55" s="5"/>
      <c r="K55" s="5"/>
    </row>
    <row r="56" spans="2:11" ht="15" thickBot="1">
      <c r="B56" s="1"/>
      <c r="C56" s="64"/>
      <c r="D56" s="5"/>
      <c r="E56" s="5"/>
      <c r="F56" s="5"/>
      <c r="G56" s="5"/>
      <c r="H56" s="5"/>
      <c r="I56" s="5"/>
      <c r="J56" s="5"/>
      <c r="K56" s="5"/>
    </row>
    <row r="57" spans="2:11" ht="15" customHeight="1" thickBot="1">
      <c r="B57" s="100" t="s">
        <v>48</v>
      </c>
      <c r="C57" s="101"/>
      <c r="D57" s="101"/>
      <c r="E57" s="102"/>
      <c r="G57" s="5"/>
      <c r="H57" s="5"/>
      <c r="I57" s="5"/>
      <c r="J57" s="5"/>
      <c r="K57" s="5"/>
    </row>
    <row r="58" spans="2:11" ht="24.6" thickBot="1">
      <c r="B58" s="37" t="s">
        <v>49</v>
      </c>
      <c r="C58" s="32" t="s">
        <v>50</v>
      </c>
      <c r="D58" s="32" t="s">
        <v>51</v>
      </c>
      <c r="E58" s="32" t="s">
        <v>52</v>
      </c>
      <c r="F58" s="5"/>
      <c r="G58" s="5"/>
      <c r="H58" s="5"/>
      <c r="I58" s="5"/>
      <c r="J58" s="5"/>
    </row>
    <row r="59" spans="2:11" ht="72.599999999999994" thickBot="1">
      <c r="B59" s="39">
        <v>42401</v>
      </c>
      <c r="C59" s="32">
        <v>1</v>
      </c>
      <c r="D59" s="40" t="s">
        <v>415</v>
      </c>
      <c r="E59" s="32"/>
      <c r="F59" s="5"/>
      <c r="G59" s="5"/>
      <c r="H59" s="5"/>
      <c r="I59" s="5"/>
      <c r="J59" s="5"/>
    </row>
    <row r="60" spans="2:11" ht="15" thickBot="1">
      <c r="B60" s="1"/>
      <c r="C60" s="64"/>
      <c r="D60" s="5"/>
      <c r="E60" s="5"/>
      <c r="F60" s="5"/>
      <c r="G60" s="5"/>
      <c r="H60" s="5"/>
      <c r="I60" s="5"/>
      <c r="J60" s="5"/>
      <c r="K60" s="5"/>
    </row>
    <row r="61" spans="2:11" ht="15" thickBot="1">
      <c r="B61" s="4" t="s">
        <v>416</v>
      </c>
      <c r="C61" s="75"/>
      <c r="D61" s="5"/>
      <c r="E61" s="5"/>
      <c r="F61" s="5"/>
      <c r="G61" s="5"/>
      <c r="H61" s="5"/>
      <c r="I61" s="5"/>
      <c r="J61" s="5"/>
      <c r="K61" s="5"/>
    </row>
    <row r="62" spans="2:11">
      <c r="B62" s="1538"/>
      <c r="C62" s="1539"/>
      <c r="D62" s="1539"/>
      <c r="E62" s="5"/>
      <c r="F62" s="5"/>
      <c r="G62" s="5"/>
      <c r="H62" s="5"/>
      <c r="I62" s="5"/>
      <c r="J62" s="5"/>
      <c r="K62" s="5"/>
    </row>
    <row r="63" spans="2:11">
      <c r="B63" s="1538"/>
      <c r="C63" s="1539"/>
      <c r="D63" s="1539"/>
      <c r="E63" s="5"/>
      <c r="F63" s="5"/>
      <c r="G63" s="5"/>
      <c r="H63" s="5"/>
      <c r="I63" s="5"/>
      <c r="J63" s="5"/>
      <c r="K63" s="5"/>
    </row>
    <row r="64" spans="2:11" ht="15" thickBot="1">
      <c r="B64" s="5"/>
      <c r="D64" s="5"/>
      <c r="E64" s="5"/>
      <c r="F64" s="5"/>
      <c r="G64" s="5"/>
      <c r="H64" s="5"/>
      <c r="I64" s="5"/>
      <c r="J64" s="5"/>
      <c r="K64" s="5"/>
    </row>
    <row r="65" spans="2:11" ht="15" thickBot="1">
      <c r="B65" s="1469" t="s">
        <v>55</v>
      </c>
      <c r="C65" s="1470"/>
      <c r="D65" s="1471"/>
      <c r="E65" s="5"/>
      <c r="F65" s="5"/>
      <c r="G65" s="5"/>
      <c r="H65" s="5"/>
      <c r="I65" s="5"/>
      <c r="J65" s="5"/>
      <c r="K65" s="5"/>
    </row>
    <row r="66" spans="2:11" ht="48.6" thickBot="1">
      <c r="B66" s="37" t="s">
        <v>56</v>
      </c>
      <c r="C66" s="2"/>
      <c r="D66" s="32" t="s">
        <v>396</v>
      </c>
      <c r="E66" s="5"/>
      <c r="F66" s="5"/>
      <c r="G66" s="5"/>
      <c r="H66" s="5"/>
      <c r="I66" s="5"/>
      <c r="J66" s="5"/>
      <c r="K66" s="5"/>
    </row>
    <row r="67" spans="2:11">
      <c r="B67" s="1459" t="s">
        <v>58</v>
      </c>
      <c r="C67" s="73"/>
      <c r="D67" s="43" t="s">
        <v>59</v>
      </c>
      <c r="E67" s="5"/>
      <c r="F67" s="5"/>
      <c r="G67" s="5"/>
      <c r="H67" s="5"/>
      <c r="I67" s="5"/>
      <c r="J67" s="5"/>
      <c r="K67" s="5"/>
    </row>
    <row r="68" spans="2:11" ht="108">
      <c r="B68" s="1460"/>
      <c r="C68" s="73"/>
      <c r="D68" s="36" t="s">
        <v>397</v>
      </c>
      <c r="E68" s="5"/>
      <c r="F68" s="5"/>
      <c r="G68" s="5"/>
      <c r="H68" s="5"/>
      <c r="I68" s="5"/>
      <c r="J68" s="5"/>
      <c r="K68" s="5"/>
    </row>
    <row r="69" spans="2:11">
      <c r="B69" s="1460"/>
      <c r="C69" s="73"/>
      <c r="D69" s="43" t="s">
        <v>62</v>
      </c>
      <c r="E69" s="5"/>
      <c r="F69" s="5"/>
      <c r="G69" s="5"/>
      <c r="H69" s="5"/>
      <c r="I69" s="5"/>
      <c r="J69" s="5"/>
      <c r="K69" s="5"/>
    </row>
    <row r="70" spans="2:11">
      <c r="B70" s="1460"/>
      <c r="C70" s="73"/>
      <c r="D70" s="36" t="s">
        <v>317</v>
      </c>
      <c r="E70" s="5"/>
      <c r="F70" s="5"/>
      <c r="G70" s="5"/>
      <c r="H70" s="5"/>
      <c r="I70" s="5"/>
      <c r="J70" s="5"/>
      <c r="K70" s="5"/>
    </row>
    <row r="71" spans="2:11">
      <c r="B71" s="1460"/>
      <c r="C71" s="73"/>
      <c r="D71" s="36" t="s">
        <v>398</v>
      </c>
      <c r="E71" s="5"/>
      <c r="F71" s="5"/>
      <c r="G71" s="5"/>
      <c r="H71" s="5"/>
      <c r="I71" s="5"/>
      <c r="J71" s="5"/>
      <c r="K71" s="5"/>
    </row>
    <row r="72" spans="2:11">
      <c r="B72" s="1460"/>
      <c r="C72" s="73"/>
      <c r="D72" s="36" t="s">
        <v>164</v>
      </c>
      <c r="E72" s="5"/>
      <c r="F72" s="5"/>
      <c r="G72" s="5"/>
      <c r="H72" s="5"/>
      <c r="I72" s="5"/>
      <c r="J72" s="5"/>
      <c r="K72" s="5"/>
    </row>
    <row r="73" spans="2:11">
      <c r="B73" s="1460"/>
      <c r="C73" s="73"/>
      <c r="D73" s="36" t="s">
        <v>399</v>
      </c>
      <c r="E73" s="5"/>
      <c r="F73" s="5"/>
      <c r="G73" s="5"/>
      <c r="H73" s="5"/>
      <c r="I73" s="5"/>
      <c r="J73" s="5"/>
      <c r="K73" s="5"/>
    </row>
    <row r="74" spans="2:11">
      <c r="B74" s="1460"/>
      <c r="C74" s="73"/>
      <c r="D74" s="36" t="s">
        <v>400</v>
      </c>
      <c r="E74" s="5"/>
      <c r="F74" s="5"/>
      <c r="G74" s="5"/>
      <c r="H74" s="5"/>
      <c r="I74" s="5"/>
      <c r="J74" s="5"/>
      <c r="K74" s="5"/>
    </row>
    <row r="75" spans="2:11">
      <c r="B75" s="1460"/>
      <c r="C75" s="73"/>
      <c r="D75" s="36" t="s">
        <v>401</v>
      </c>
      <c r="E75" s="5"/>
      <c r="F75" s="5"/>
      <c r="G75" s="5"/>
      <c r="H75" s="5"/>
      <c r="I75" s="5"/>
      <c r="J75" s="5"/>
      <c r="K75" s="5"/>
    </row>
    <row r="76" spans="2:11">
      <c r="B76" s="1460"/>
      <c r="C76" s="73"/>
      <c r="D76" s="36" t="s">
        <v>402</v>
      </c>
      <c r="E76" s="5"/>
      <c r="F76" s="5"/>
      <c r="G76" s="5"/>
      <c r="H76" s="5"/>
      <c r="I76" s="5"/>
      <c r="J76" s="5"/>
      <c r="K76" s="5"/>
    </row>
    <row r="77" spans="2:11">
      <c r="B77" s="1460"/>
      <c r="C77" s="73"/>
      <c r="D77" s="43" t="s">
        <v>287</v>
      </c>
      <c r="E77" s="5"/>
      <c r="F77" s="5"/>
      <c r="G77" s="5"/>
      <c r="H77" s="5"/>
      <c r="I77" s="5"/>
      <c r="J77" s="5"/>
      <c r="K77" s="5"/>
    </row>
    <row r="78" spans="2:11" ht="24.6" thickBot="1">
      <c r="B78" s="1461"/>
      <c r="C78" s="2"/>
      <c r="D78" s="32" t="s">
        <v>352</v>
      </c>
      <c r="E78" s="5"/>
      <c r="F78" s="5"/>
      <c r="G78" s="5"/>
      <c r="H78" s="5"/>
      <c r="I78" s="5"/>
      <c r="J78" s="5"/>
      <c r="K78" s="5"/>
    </row>
    <row r="79" spans="2:11" ht="24.6" thickBot="1">
      <c r="B79" s="37" t="s">
        <v>71</v>
      </c>
      <c r="C79" s="2"/>
      <c r="D79" s="32"/>
      <c r="E79" s="5"/>
      <c r="F79" s="5"/>
      <c r="G79" s="5"/>
      <c r="H79" s="5"/>
      <c r="I79" s="5"/>
      <c r="J79" s="5"/>
      <c r="K79" s="5"/>
    </row>
    <row r="80" spans="2:11" ht="120">
      <c r="B80" s="1459" t="s">
        <v>72</v>
      </c>
      <c r="C80" s="73"/>
      <c r="D80" s="36" t="s">
        <v>403</v>
      </c>
      <c r="E80" s="5"/>
      <c r="F80" s="5"/>
      <c r="G80" s="5"/>
      <c r="H80" s="5"/>
      <c r="I80" s="5"/>
      <c r="J80" s="5"/>
      <c r="K80" s="5"/>
    </row>
    <row r="81" spans="2:11" ht="72">
      <c r="B81" s="1460"/>
      <c r="C81" s="73"/>
      <c r="D81" s="36" t="s">
        <v>404</v>
      </c>
      <c r="E81" s="5"/>
      <c r="F81" s="5"/>
      <c r="G81" s="5"/>
      <c r="H81" s="5"/>
      <c r="I81" s="5"/>
      <c r="J81" s="5"/>
      <c r="K81" s="5"/>
    </row>
    <row r="82" spans="2:11" ht="72">
      <c r="B82" s="1460"/>
      <c r="C82" s="73"/>
      <c r="D82" s="36" t="s">
        <v>405</v>
      </c>
      <c r="E82" s="5"/>
      <c r="F82" s="5"/>
      <c r="G82" s="5"/>
      <c r="H82" s="5"/>
      <c r="I82" s="5"/>
      <c r="J82" s="5"/>
      <c r="K82" s="5"/>
    </row>
    <row r="83" spans="2:11" ht="96.6" thickBot="1">
      <c r="B83" s="1461"/>
      <c r="C83" s="2"/>
      <c r="D83" s="32" t="s">
        <v>406</v>
      </c>
      <c r="E83" s="5"/>
      <c r="F83" s="5"/>
      <c r="G83" s="5"/>
      <c r="H83" s="5"/>
      <c r="I83" s="5"/>
      <c r="J83" s="5"/>
      <c r="K83" s="5"/>
    </row>
    <row r="84" spans="2:11" ht="36">
      <c r="B84" s="1459" t="s">
        <v>89</v>
      </c>
      <c r="C84" s="73"/>
      <c r="D84" s="43" t="s">
        <v>395</v>
      </c>
      <c r="E84" s="5"/>
      <c r="F84" s="5"/>
      <c r="G84" s="5"/>
      <c r="H84" s="5"/>
      <c r="I84" s="5"/>
      <c r="J84" s="5"/>
      <c r="K84" s="5"/>
    </row>
    <row r="85" spans="2:11">
      <c r="B85" s="1460"/>
      <c r="C85" s="73"/>
      <c r="D85" s="13"/>
      <c r="E85" s="5"/>
      <c r="F85" s="5"/>
      <c r="G85" s="5"/>
      <c r="H85" s="5"/>
      <c r="I85" s="5"/>
      <c r="J85" s="5"/>
      <c r="K85" s="5"/>
    </row>
    <row r="86" spans="2:11">
      <c r="B86" s="1460"/>
      <c r="C86" s="73"/>
      <c r="D86" s="36" t="s">
        <v>90</v>
      </c>
      <c r="E86" s="5"/>
      <c r="F86" s="5"/>
      <c r="G86" s="5"/>
      <c r="H86" s="5"/>
      <c r="I86" s="5"/>
      <c r="J86" s="5"/>
      <c r="K86" s="5"/>
    </row>
    <row r="87" spans="2:11" ht="50.4">
      <c r="B87" s="1460"/>
      <c r="C87" s="73"/>
      <c r="D87" s="36" t="s">
        <v>407</v>
      </c>
      <c r="E87" s="5"/>
      <c r="F87" s="5"/>
      <c r="G87" s="5"/>
      <c r="H87" s="5"/>
      <c r="I87" s="5"/>
      <c r="J87" s="5"/>
      <c r="K87" s="5"/>
    </row>
    <row r="88" spans="2:11" ht="62.4">
      <c r="B88" s="1460"/>
      <c r="C88" s="73"/>
      <c r="D88" s="36" t="s">
        <v>408</v>
      </c>
      <c r="E88" s="5"/>
      <c r="F88" s="5"/>
      <c r="G88" s="5"/>
      <c r="H88" s="5"/>
      <c r="I88" s="5"/>
      <c r="J88" s="5"/>
      <c r="K88" s="5"/>
    </row>
    <row r="89" spans="2:11" ht="27" thickBot="1">
      <c r="B89" s="1461"/>
      <c r="C89" s="2"/>
      <c r="D89" s="32" t="s">
        <v>409</v>
      </c>
      <c r="E89" s="5"/>
      <c r="F89" s="5"/>
      <c r="G89" s="5"/>
      <c r="H89" s="5"/>
      <c r="I89" s="5"/>
      <c r="J89" s="5"/>
      <c r="K89" s="5"/>
    </row>
  </sheetData>
  <mergeCells count="25">
    <mergeCell ref="B10:D10"/>
    <mergeCell ref="F10:S10"/>
    <mergeCell ref="F11:S11"/>
    <mergeCell ref="E12:R12"/>
    <mergeCell ref="E13:R13"/>
    <mergeCell ref="B84:B89"/>
    <mergeCell ref="B15:B20"/>
    <mergeCell ref="D15:J15"/>
    <mergeCell ref="D16:J16"/>
    <mergeCell ref="D36:J36"/>
    <mergeCell ref="D37:J37"/>
    <mergeCell ref="B39:E39"/>
    <mergeCell ref="B40:B46"/>
    <mergeCell ref="B48:E48"/>
    <mergeCell ref="B49:B55"/>
    <mergeCell ref="B62:D63"/>
    <mergeCell ref="D21:J21"/>
    <mergeCell ref="B65:D65"/>
    <mergeCell ref="B67:B78"/>
    <mergeCell ref="B80:B83"/>
    <mergeCell ref="A1:P1"/>
    <mergeCell ref="A2:P2"/>
    <mergeCell ref="A3:P3"/>
    <mergeCell ref="A4:D4"/>
    <mergeCell ref="A5:P5"/>
  </mergeCells>
  <conditionalFormatting sqref="E12:R12">
    <cfRule type="expression" dxfId="87" priority="3">
      <formula>E11="SI SE REPORTA"</formula>
    </cfRule>
  </conditionalFormatting>
  <conditionalFormatting sqref="F10">
    <cfRule type="notContainsBlanks" dxfId="86" priority="6">
      <formula>LEN(TRIM(F10))&gt;0</formula>
    </cfRule>
  </conditionalFormatting>
  <conditionalFormatting sqref="F11:S11">
    <cfRule type="expression" dxfId="85" priority="1">
      <formula>E11="NO SE REPORTA"</formula>
    </cfRule>
    <cfRule type="expression" dxfId="84" priority="2">
      <formula>E10="NO APLICA"</formula>
    </cfRule>
  </conditionalFormatting>
  <dataValidations count="6">
    <dataValidation type="whole" operator="greaterThanOrEqual" allowBlank="1" showErrorMessage="1" errorTitle="ERROR" error="Escriba un número igual o mayor que 0" promptTitle="ERROR" prompt="Escriba un número igual o mayor que 0" sqref="E18:I19" xr:uid="{00000000-0002-0000-0E00-000000000000}">
      <formula1>0</formula1>
    </dataValidation>
    <dataValidation allowBlank="1" showInputMessage="1" showErrorMessage="1" promptTitle="OJO" prompt="NO TOCAR" sqref="E20:J20 J18:J19" xr:uid="{00000000-0002-0000-0E00-000001000000}"/>
    <dataValidation type="whole" operator="greaterThanOrEqual" allowBlank="1" showInputMessage="1" showErrorMessage="1" errorTitle="ERROR" error="Valor en HECTAREAS (sin decimales)_x000a_" sqref="G38:H38" xr:uid="{00000000-0002-0000-0E00-000002000000}">
      <formula1>0</formula1>
    </dataValidation>
    <dataValidation allowBlank="1" showInputMessage="1" showErrorMessage="1" promptTitle="ESTADO" prompt="en preparación_x000a_en aprestamiento_x000a_en declaración_x000a_Declarado" sqref="I38" xr:uid="{00000000-0002-0000-0E00-000003000000}"/>
    <dataValidation type="list" allowBlank="1" showInputMessage="1" showErrorMessage="1" sqref="E11" xr:uid="{00000000-0002-0000-0E00-000004000000}">
      <formula1>REPORTE</formula1>
    </dataValidation>
    <dataValidation type="list" allowBlank="1" showInputMessage="1" showErrorMessage="1" sqref="E10" xr:uid="{00000000-0002-0000-0E00-000005000000}">
      <formula1>SI</formula1>
    </dataValidation>
  </dataValidations>
  <hyperlinks>
    <hyperlink ref="B9" location="'ANEXO 3'!A1" display="VOLVER AL INDICE" xr:uid="{00000000-0004-0000-0E00-000000000000}"/>
  </hyperlinks>
  <pageMargins left="0.25" right="0.25" top="0.75" bottom="0.75" header="0.3" footer="0.3"/>
  <pageSetup paperSize="178" orientation="landscape" horizontalDpi="1200" verticalDpi="1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1"/>
  <dimension ref="A1:U184"/>
  <sheetViews>
    <sheetView showGridLines="0" topLeftCell="A10" zoomScale="98" zoomScaleNormal="98" workbookViewId="0">
      <selection activeCell="J20" sqref="J20"/>
    </sheetView>
  </sheetViews>
  <sheetFormatPr baseColWidth="10" defaultRowHeight="14.4"/>
  <cols>
    <col min="1" max="1" width="1.88671875" customWidth="1"/>
    <col min="2" max="2" width="12.88671875" customWidth="1"/>
    <col min="3" max="3" width="5" style="66" bestFit="1" customWidth="1"/>
    <col min="4" max="4" width="42.109375" customWidth="1"/>
    <col min="5" max="5" width="23.109375" customWidth="1"/>
    <col min="6" max="6" width="13" customWidth="1"/>
    <col min="7" max="7" width="12.33203125" customWidth="1"/>
    <col min="8" max="8" width="13" customWidth="1"/>
    <col min="11" max="11" width="17.109375" customWidth="1"/>
    <col min="12" max="12" width="23" customWidth="1"/>
    <col min="13" max="13" width="11" customWidth="1"/>
    <col min="14" max="14" width="10.33203125" customWidth="1"/>
    <col min="15" max="16" width="8.88671875" customWidth="1"/>
  </cols>
  <sheetData>
    <row r="1" spans="1:21" s="314" customFormat="1" ht="100.5" customHeight="1" thickBot="1">
      <c r="A1" s="1421"/>
      <c r="B1" s="1422"/>
      <c r="C1" s="1422"/>
      <c r="D1" s="1422"/>
      <c r="E1" s="1422"/>
      <c r="F1" s="1422"/>
      <c r="G1" s="1422"/>
      <c r="H1" s="1422"/>
      <c r="I1" s="1422"/>
      <c r="J1" s="1422"/>
      <c r="K1" s="1422"/>
      <c r="L1" s="1422"/>
      <c r="M1" s="1422"/>
      <c r="N1" s="1422"/>
      <c r="O1" s="1422"/>
      <c r="P1" s="1423"/>
      <c r="Q1"/>
      <c r="R1"/>
    </row>
    <row r="2" spans="1:21" s="315" customFormat="1" ht="16.2" thickBot="1">
      <c r="A2" s="1418" t="str">
        <f>+'Datos Generales'!C5</f>
        <v>Corporación Autónoma Regional del Atlántico – CRA</v>
      </c>
      <c r="B2" s="1419"/>
      <c r="C2" s="1419"/>
      <c r="D2" s="1419"/>
      <c r="E2" s="1419"/>
      <c r="F2" s="1419"/>
      <c r="G2" s="1419"/>
      <c r="H2" s="1419"/>
      <c r="I2" s="1419"/>
      <c r="J2" s="1419"/>
      <c r="K2" s="1419"/>
      <c r="L2" s="1419"/>
      <c r="M2" s="1419"/>
      <c r="N2" s="1419"/>
      <c r="O2" s="1419"/>
      <c r="P2" s="1420"/>
      <c r="Q2"/>
      <c r="R2"/>
    </row>
    <row r="3" spans="1:21" s="315" customFormat="1" ht="16.2" thickBot="1">
      <c r="A3" s="1426" t="s">
        <v>1295</v>
      </c>
      <c r="B3" s="1427"/>
      <c r="C3" s="1427"/>
      <c r="D3" s="1427"/>
      <c r="E3" s="1427"/>
      <c r="F3" s="1427"/>
      <c r="G3" s="1427"/>
      <c r="H3" s="1427"/>
      <c r="I3" s="1427"/>
      <c r="J3" s="1427"/>
      <c r="K3" s="1427"/>
      <c r="L3" s="1427"/>
      <c r="M3" s="1427"/>
      <c r="N3" s="1427"/>
      <c r="O3" s="1427"/>
      <c r="P3" s="1428"/>
      <c r="Q3"/>
      <c r="R3"/>
    </row>
    <row r="4" spans="1:21" s="315" customFormat="1" ht="16.2" thickBot="1">
      <c r="A4" s="1424" t="s">
        <v>1294</v>
      </c>
      <c r="B4" s="1425"/>
      <c r="C4" s="1425"/>
      <c r="D4" s="1425"/>
      <c r="E4" s="322" t="str">
        <f>+'Datos Generales'!C6</f>
        <v>2023-II</v>
      </c>
      <c r="F4" s="322"/>
      <c r="G4" s="322"/>
      <c r="H4" s="322"/>
      <c r="I4" s="322"/>
      <c r="J4" s="322"/>
      <c r="K4" s="322"/>
      <c r="L4" s="323"/>
      <c r="M4" s="323"/>
      <c r="N4" s="323"/>
      <c r="O4" s="323"/>
      <c r="P4" s="324"/>
      <c r="Q4"/>
      <c r="R4"/>
    </row>
    <row r="5" spans="1:21" ht="16.5" customHeight="1" thickBot="1">
      <c r="A5" s="1426" t="s">
        <v>417</v>
      </c>
      <c r="B5" s="1427"/>
      <c r="C5" s="1427"/>
      <c r="D5" s="1427"/>
      <c r="E5" s="1427"/>
      <c r="F5" s="1427"/>
      <c r="G5" s="1427"/>
      <c r="H5" s="1427"/>
      <c r="I5" s="1427"/>
      <c r="J5" s="1427"/>
      <c r="K5" s="1427"/>
      <c r="L5" s="1427"/>
      <c r="M5" s="1427"/>
      <c r="N5" s="1427"/>
      <c r="O5" s="1427"/>
      <c r="P5" s="1428"/>
    </row>
    <row r="6" spans="1:21">
      <c r="B6" s="1" t="s">
        <v>1</v>
      </c>
      <c r="C6" s="64"/>
      <c r="D6" s="5"/>
      <c r="E6" s="62"/>
      <c r="F6" s="5" t="s">
        <v>127</v>
      </c>
      <c r="G6" s="5"/>
      <c r="H6" s="5"/>
      <c r="I6" s="5"/>
      <c r="J6" s="5"/>
      <c r="K6" s="5"/>
      <c r="L6" s="5"/>
    </row>
    <row r="7" spans="1:21" ht="15" thickBot="1">
      <c r="B7" s="63"/>
      <c r="C7" s="65"/>
      <c r="D7" s="5"/>
      <c r="E7" s="14"/>
      <c r="F7" s="5" t="s">
        <v>128</v>
      </c>
      <c r="G7" s="5"/>
      <c r="H7" s="5"/>
      <c r="I7" s="5"/>
      <c r="J7" s="5"/>
      <c r="K7" s="5" t="s">
        <v>1201</v>
      </c>
    </row>
    <row r="8" spans="1:21" ht="15" thickBot="1">
      <c r="B8" s="144" t="s">
        <v>1180</v>
      </c>
      <c r="C8" s="571">
        <v>2023</v>
      </c>
      <c r="D8" s="171" t="str">
        <f>IF(E10="NO APLICA","NO APLICA",IF(E11="NO SE REPORTA","SIN INFORMACION",+P34))</f>
        <v>SIN INFORMACION</v>
      </c>
      <c r="E8" s="168"/>
      <c r="F8" s="5" t="s">
        <v>129</v>
      </c>
      <c r="G8" s="5"/>
      <c r="H8" s="5"/>
      <c r="I8" s="5"/>
      <c r="J8" s="5"/>
      <c r="K8" s="5"/>
      <c r="L8" s="5"/>
    </row>
    <row r="9" spans="1:21">
      <c r="B9" s="300" t="s">
        <v>1181</v>
      </c>
      <c r="C9" s="67"/>
      <c r="D9" s="5"/>
      <c r="E9" s="5"/>
      <c r="F9" s="5"/>
      <c r="G9" s="5"/>
      <c r="H9" s="5"/>
      <c r="I9" s="5"/>
    </row>
    <row r="10" spans="1:21">
      <c r="B10" s="1429" t="s">
        <v>1236</v>
      </c>
      <c r="C10" s="1429"/>
      <c r="D10" s="1429"/>
      <c r="E10" s="303" t="s">
        <v>1233</v>
      </c>
      <c r="F10" s="1436"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xml:space="preserve">      ESCRIBA EL NÚMERO DEL ACUERDO DEL CONSEJO DIRECTIVO EN LA CUAL SE APRUEBA LA AGENDA DE IMPLEMENTACION DEL INDICADOR</v>
      </c>
      <c r="G10" s="1437"/>
      <c r="H10" s="1437"/>
      <c r="I10" s="1437"/>
      <c r="J10" s="1437"/>
      <c r="K10" s="1437"/>
      <c r="L10" s="1437"/>
      <c r="M10" s="1437"/>
      <c r="N10" s="1437"/>
      <c r="O10" s="1437"/>
      <c r="P10" s="1437"/>
      <c r="Q10" s="1437"/>
      <c r="R10" s="1437"/>
      <c r="S10" s="1437"/>
      <c r="T10" s="5"/>
      <c r="U10" s="5"/>
    </row>
    <row r="11" spans="1:21" ht="14.4" customHeight="1">
      <c r="B11" s="302"/>
      <c r="C11" s="67"/>
      <c r="D11" s="144" t="str">
        <f>IF(E10="SI APLICA","¿El indicador no se reporta por limitaciones de información disponible? ","")</f>
        <v xml:space="preserve">¿El indicador no se reporta por limitaciones de información disponible? </v>
      </c>
      <c r="E11" s="304" t="s">
        <v>1234</v>
      </c>
      <c r="F11" s="1430" t="s">
        <v>1828</v>
      </c>
      <c r="G11" s="1431"/>
      <c r="H11" s="1431"/>
      <c r="I11" s="1431"/>
      <c r="J11" s="1431"/>
      <c r="K11" s="1431"/>
      <c r="L11" s="1431"/>
      <c r="M11" s="1431"/>
      <c r="N11" s="1431"/>
      <c r="O11" s="1431"/>
      <c r="P11" s="1431"/>
      <c r="Q11" s="1431"/>
      <c r="R11" s="1431"/>
      <c r="S11" s="1431"/>
    </row>
    <row r="12" spans="1:21" ht="10.5" customHeight="1">
      <c r="B12" s="300"/>
      <c r="C12" s="67"/>
      <c r="D12" s="144" t="str">
        <f>IF(E11="SI SE REPORTA","¿Qué programas o proyectos del Plan de Acción están asociados al indicador? ","")</f>
        <v/>
      </c>
      <c r="E12" s="1432"/>
      <c r="F12" s="1432"/>
      <c r="G12" s="1432"/>
      <c r="H12" s="1432"/>
      <c r="I12" s="1432"/>
      <c r="J12" s="1432"/>
      <c r="K12" s="1432"/>
      <c r="L12" s="1432"/>
      <c r="M12" s="1432"/>
      <c r="N12" s="1432"/>
      <c r="O12" s="1432"/>
      <c r="P12" s="1432"/>
      <c r="Q12" s="1432"/>
      <c r="R12" s="1432"/>
    </row>
    <row r="13" spans="1:21" ht="35.25" customHeight="1">
      <c r="B13" s="300"/>
      <c r="C13" s="67"/>
      <c r="D13" s="144" t="s">
        <v>1238</v>
      </c>
      <c r="E13" s="1433" t="s">
        <v>1836</v>
      </c>
      <c r="F13" s="1434"/>
      <c r="G13" s="1434"/>
      <c r="H13" s="1434"/>
      <c r="I13" s="1434"/>
      <c r="J13" s="1434"/>
      <c r="K13" s="1434"/>
      <c r="L13" s="1434"/>
      <c r="M13" s="1434"/>
      <c r="N13" s="1434"/>
      <c r="O13" s="1434"/>
      <c r="P13" s="1434"/>
      <c r="Q13" s="1434"/>
      <c r="R13" s="1435"/>
    </row>
    <row r="14" spans="1:21" ht="6.9" customHeight="1" thickBot="1">
      <c r="B14" s="300"/>
      <c r="C14" s="67"/>
      <c r="D14" s="5"/>
      <c r="E14" s="5"/>
      <c r="F14" s="5"/>
      <c r="G14" s="5"/>
      <c r="H14" s="5"/>
      <c r="I14" s="5"/>
    </row>
    <row r="15" spans="1:21" ht="25.5" customHeight="1" thickBot="1">
      <c r="B15" s="1459" t="s">
        <v>2</v>
      </c>
      <c r="C15" s="68"/>
      <c r="D15" s="1450" t="s">
        <v>335</v>
      </c>
      <c r="E15" s="1451"/>
      <c r="F15" s="1451"/>
      <c r="G15" s="1451"/>
      <c r="H15" s="1451"/>
      <c r="I15" s="1452"/>
      <c r="K15" s="251" t="s">
        <v>411</v>
      </c>
      <c r="L15" s="251" t="s">
        <v>1214</v>
      </c>
      <c r="M15" s="251" t="s">
        <v>1057</v>
      </c>
      <c r="N15" s="258" t="s">
        <v>104</v>
      </c>
      <c r="O15" s="170"/>
    </row>
    <row r="16" spans="1:21" ht="28.5" customHeight="1" thickBot="1">
      <c r="B16" s="1460"/>
      <c r="C16" s="77" t="s">
        <v>18</v>
      </c>
      <c r="D16" s="34" t="s">
        <v>149</v>
      </c>
      <c r="E16" s="69" t="s">
        <v>150</v>
      </c>
      <c r="F16" s="5"/>
      <c r="G16" s="5"/>
      <c r="I16" s="17"/>
      <c r="K16" s="251" t="s">
        <v>1206</v>
      </c>
      <c r="L16" s="258" t="s">
        <v>1215</v>
      </c>
      <c r="M16" s="252">
        <v>0.05</v>
      </c>
      <c r="N16" s="252">
        <v>0.05</v>
      </c>
      <c r="O16" s="170"/>
    </row>
    <row r="17" spans="2:18" ht="43.5" customHeight="1" thickBot="1">
      <c r="B17" s="1460"/>
      <c r="C17" s="2" t="s">
        <v>151</v>
      </c>
      <c r="D17" s="32" t="s">
        <v>1937</v>
      </c>
      <c r="E17" s="163">
        <v>223571</v>
      </c>
      <c r="F17" s="604"/>
      <c r="G17" s="5"/>
      <c r="I17" s="17"/>
      <c r="K17" s="251" t="s">
        <v>1203</v>
      </c>
      <c r="L17" s="258" t="s">
        <v>1217</v>
      </c>
      <c r="M17" s="252">
        <v>0.15</v>
      </c>
      <c r="N17" s="252">
        <f>+M17+N16</f>
        <v>0.2</v>
      </c>
      <c r="O17" s="170"/>
    </row>
    <row r="18" spans="2:18" ht="42" customHeight="1" thickBot="1">
      <c r="B18" s="1460"/>
      <c r="C18" s="2" t="s">
        <v>153</v>
      </c>
      <c r="D18" s="32" t="s">
        <v>429</v>
      </c>
      <c r="E18" s="163"/>
      <c r="F18" s="520"/>
      <c r="G18" s="5"/>
      <c r="I18" s="17"/>
      <c r="K18" s="251" t="s">
        <v>1204</v>
      </c>
      <c r="L18" s="258" t="s">
        <v>1218</v>
      </c>
      <c r="M18" s="252">
        <v>0.15</v>
      </c>
      <c r="N18" s="252">
        <f>+M18+N17</f>
        <v>0.35</v>
      </c>
      <c r="O18" s="170"/>
    </row>
    <row r="19" spans="2:18" ht="46.5" customHeight="1" thickBot="1">
      <c r="B19" s="1460"/>
      <c r="C19" s="2" t="s">
        <v>155</v>
      </c>
      <c r="D19" s="32" t="s">
        <v>430</v>
      </c>
      <c r="E19" s="163"/>
      <c r="F19" s="520"/>
      <c r="G19" s="5"/>
      <c r="I19" s="17"/>
      <c r="K19" s="251" t="s">
        <v>1205</v>
      </c>
      <c r="L19" s="258" t="s">
        <v>1219</v>
      </c>
      <c r="M19" s="252">
        <v>0.2</v>
      </c>
      <c r="N19" s="252">
        <f>+M19+N18</f>
        <v>0.55000000000000004</v>
      </c>
      <c r="O19" s="170"/>
    </row>
    <row r="20" spans="2:18" ht="34.65" customHeight="1" thickBot="1">
      <c r="B20" s="1460"/>
      <c r="C20" s="2" t="s">
        <v>257</v>
      </c>
      <c r="D20" s="32" t="s">
        <v>431</v>
      </c>
      <c r="E20" s="111">
        <f>+E18+E19</f>
        <v>0</v>
      </c>
      <c r="F20" s="5"/>
      <c r="G20" s="5"/>
      <c r="I20" s="17"/>
      <c r="K20" s="251" t="s">
        <v>1202</v>
      </c>
      <c r="L20" s="258" t="s">
        <v>1220</v>
      </c>
      <c r="M20" s="252">
        <v>0.2</v>
      </c>
      <c r="N20" s="252">
        <f>+M20+N19</f>
        <v>0.75</v>
      </c>
      <c r="O20" s="170"/>
    </row>
    <row r="21" spans="2:18" ht="34.65" customHeight="1" thickBot="1">
      <c r="B21" s="1460"/>
      <c r="C21" s="2" t="s">
        <v>259</v>
      </c>
      <c r="D21" s="32" t="s">
        <v>1662</v>
      </c>
      <c r="E21" s="163"/>
      <c r="F21" s="520"/>
      <c r="G21" s="5"/>
      <c r="I21" s="17"/>
      <c r="K21" s="251" t="s">
        <v>1222</v>
      </c>
      <c r="L21" s="258" t="s">
        <v>1221</v>
      </c>
      <c r="M21" s="252">
        <v>0.25</v>
      </c>
      <c r="N21" s="252">
        <f>+M21+N20</f>
        <v>1</v>
      </c>
      <c r="R21" t="s">
        <v>1216</v>
      </c>
    </row>
    <row r="22" spans="2:18" ht="15" customHeight="1">
      <c r="B22" s="1460"/>
      <c r="C22" s="71"/>
      <c r="D22" s="1441"/>
      <c r="E22" s="1442"/>
      <c r="F22" s="1442"/>
      <c r="G22" s="1442"/>
      <c r="H22" s="1442"/>
      <c r="I22" s="1443"/>
      <c r="K22" s="251" t="s">
        <v>150</v>
      </c>
      <c r="L22" s="251"/>
      <c r="M22" s="252">
        <f>SUM(M16:M21)</f>
        <v>1</v>
      </c>
    </row>
    <row r="23" spans="2:18" ht="15" thickBot="1">
      <c r="B23" s="1460"/>
      <c r="C23" s="71"/>
      <c r="D23" s="1472" t="s">
        <v>432</v>
      </c>
      <c r="E23" s="1473"/>
      <c r="F23" s="1473"/>
      <c r="G23" s="1473"/>
      <c r="H23" s="1473"/>
      <c r="I23" s="1474"/>
      <c r="J23" s="5"/>
      <c r="K23" s="5"/>
      <c r="L23" s="5"/>
    </row>
    <row r="24" spans="2:18" ht="15" customHeight="1" thickBot="1">
      <c r="B24" s="1460"/>
      <c r="C24" s="73"/>
      <c r="D24" s="30" t="s">
        <v>149</v>
      </c>
      <c r="E24" s="30" t="s">
        <v>19</v>
      </c>
      <c r="F24" s="30" t="s">
        <v>20</v>
      </c>
      <c r="G24" s="30" t="s">
        <v>21</v>
      </c>
      <c r="H24" s="30" t="s">
        <v>22</v>
      </c>
      <c r="I24" s="30" t="s">
        <v>150</v>
      </c>
      <c r="J24" s="5"/>
      <c r="K24" s="1605" t="s">
        <v>411</v>
      </c>
      <c r="L24" s="1605" t="s">
        <v>1207</v>
      </c>
      <c r="M24" s="1605" t="s">
        <v>19</v>
      </c>
      <c r="N24" s="1605" t="s">
        <v>20</v>
      </c>
      <c r="O24" s="1605" t="s">
        <v>21</v>
      </c>
      <c r="P24" s="1605" t="s">
        <v>22</v>
      </c>
    </row>
    <row r="25" spans="2:18" ht="15" customHeight="1" thickBot="1">
      <c r="B25" s="1460"/>
      <c r="C25" s="73"/>
      <c r="D25" s="31" t="s">
        <v>433</v>
      </c>
      <c r="E25" s="163"/>
      <c r="F25" s="163"/>
      <c r="G25" s="163"/>
      <c r="H25" s="163"/>
      <c r="I25" s="248">
        <f>Formulas!$I$15</f>
        <v>0</v>
      </c>
      <c r="J25" s="5"/>
      <c r="K25" s="1605"/>
      <c r="L25" s="1605"/>
      <c r="M25" s="1605"/>
      <c r="N25" s="1605"/>
      <c r="O25" s="1605"/>
      <c r="P25" s="1605"/>
    </row>
    <row r="26" spans="2:18" ht="15" customHeight="1" thickBot="1">
      <c r="B26" s="1460"/>
      <c r="C26" s="73"/>
      <c r="D26" s="31" t="s">
        <v>369</v>
      </c>
      <c r="E26" s="163"/>
      <c r="F26" s="163"/>
      <c r="G26" s="163"/>
      <c r="H26" s="163"/>
      <c r="I26" s="246"/>
      <c r="J26" s="5"/>
      <c r="K26" s="251" t="str">
        <f>+D26</f>
        <v>Sin iniciar</v>
      </c>
      <c r="L26" s="250"/>
      <c r="M26" s="247">
        <f>+$L26*E26</f>
        <v>0</v>
      </c>
      <c r="N26" s="247"/>
      <c r="O26" s="247"/>
      <c r="P26" s="247"/>
    </row>
    <row r="27" spans="2:18" ht="15" customHeight="1" thickBot="1">
      <c r="B27" s="1460"/>
      <c r="C27" s="73"/>
      <c r="D27" s="31" t="s">
        <v>434</v>
      </c>
      <c r="E27" s="163"/>
      <c r="F27" s="163"/>
      <c r="G27" s="163"/>
      <c r="H27" s="163"/>
      <c r="I27" s="246"/>
      <c r="J27" s="5"/>
      <c r="K27" s="251" t="str">
        <f>+D27</f>
        <v>En formulación</v>
      </c>
      <c r="L27" s="250"/>
      <c r="M27" s="247">
        <f>+$L27*E27</f>
        <v>0</v>
      </c>
      <c r="N27" s="247"/>
      <c r="O27" s="247"/>
      <c r="P27" s="247"/>
    </row>
    <row r="28" spans="2:18" ht="15" customHeight="1" thickBot="1">
      <c r="B28" s="1460"/>
      <c r="C28" s="73"/>
      <c r="D28" s="31" t="s">
        <v>435</v>
      </c>
      <c r="E28" s="163"/>
      <c r="F28" s="163"/>
      <c r="G28" s="163"/>
      <c r="H28" s="163"/>
      <c r="I28" s="246"/>
      <c r="J28" s="5"/>
      <c r="K28" s="251" t="str">
        <f>+D28</f>
        <v>En actualización</v>
      </c>
      <c r="L28" s="250"/>
      <c r="M28" s="247">
        <f>+$L28*E28</f>
        <v>0</v>
      </c>
      <c r="N28" s="247"/>
      <c r="O28" s="247"/>
      <c r="P28" s="247"/>
    </row>
    <row r="29" spans="2:18" ht="15" thickBot="1">
      <c r="B29" s="1460"/>
      <c r="C29" s="73"/>
      <c r="D29" s="31" t="s">
        <v>436</v>
      </c>
      <c r="E29" s="163"/>
      <c r="F29" s="163"/>
      <c r="G29" s="163"/>
      <c r="H29" s="163"/>
      <c r="I29" s="246"/>
      <c r="J29" s="5"/>
      <c r="K29" s="251" t="str">
        <f>+D29</f>
        <v>Plan forestal adoptado</v>
      </c>
      <c r="L29" s="250"/>
      <c r="M29" s="247">
        <f>+$L29*E29</f>
        <v>0</v>
      </c>
      <c r="N29" s="247"/>
      <c r="O29" s="247"/>
      <c r="P29" s="247"/>
    </row>
    <row r="30" spans="2:18" ht="15" customHeight="1" thickBot="1">
      <c r="B30" s="1460"/>
      <c r="C30" s="73"/>
      <c r="D30" s="31" t="s">
        <v>150</v>
      </c>
      <c r="E30" s="115">
        <f>Formulas!D15</f>
        <v>0</v>
      </c>
      <c r="F30" s="115">
        <f>Formulas!E15</f>
        <v>0</v>
      </c>
      <c r="G30" s="115">
        <f>Formulas!F15</f>
        <v>0</v>
      </c>
      <c r="H30" s="115">
        <f>Formulas!G15</f>
        <v>0</v>
      </c>
      <c r="I30" s="246"/>
      <c r="J30" s="5"/>
      <c r="K30" s="251"/>
      <c r="L30" s="251" t="s">
        <v>1198</v>
      </c>
      <c r="M30" s="247">
        <f>SUM(M26:M29)</f>
        <v>0</v>
      </c>
      <c r="N30" s="247"/>
      <c r="O30" s="247"/>
      <c r="P30" s="247"/>
    </row>
    <row r="31" spans="2:18" ht="14.4" customHeight="1">
      <c r="B31" s="1460"/>
      <c r="C31" s="71"/>
      <c r="D31" s="1450" t="s">
        <v>437</v>
      </c>
      <c r="E31" s="1451"/>
      <c r="F31" s="1451"/>
      <c r="G31" s="1451"/>
      <c r="H31" s="1451"/>
      <c r="I31" s="1452"/>
      <c r="J31" s="5"/>
      <c r="K31" s="251"/>
      <c r="L31" s="251" t="s">
        <v>1199</v>
      </c>
      <c r="M31" s="249" t="e">
        <f>+M30/$I$25</f>
        <v>#DIV/0!</v>
      </c>
      <c r="N31" s="249"/>
      <c r="O31" s="249"/>
      <c r="P31" s="249"/>
    </row>
    <row r="32" spans="2:18" ht="24" customHeight="1">
      <c r="B32" s="1460"/>
      <c r="C32" s="71"/>
      <c r="D32" s="1441" t="s">
        <v>438</v>
      </c>
      <c r="E32" s="1442"/>
      <c r="F32" s="1442"/>
      <c r="G32" s="1442"/>
      <c r="H32" s="1442"/>
      <c r="I32" s="1443"/>
      <c r="J32" s="5"/>
      <c r="K32" s="251"/>
      <c r="L32" s="251" t="s">
        <v>1208</v>
      </c>
      <c r="M32" s="249" t="e">
        <f>+M45</f>
        <v>#DIV/0!</v>
      </c>
      <c r="N32" s="249"/>
      <c r="O32" s="249"/>
      <c r="P32" s="249"/>
    </row>
    <row r="33" spans="2:16" ht="15" customHeight="1" thickBot="1">
      <c r="B33" s="1460"/>
      <c r="C33" s="71"/>
      <c r="D33" s="1453" t="s">
        <v>439</v>
      </c>
      <c r="E33" s="1454"/>
      <c r="F33" s="1454"/>
      <c r="G33" s="1454"/>
      <c r="H33" s="1454"/>
      <c r="I33" s="1455"/>
      <c r="J33" s="5"/>
      <c r="K33" s="251"/>
      <c r="L33" s="251" t="s">
        <v>1212</v>
      </c>
      <c r="M33" s="247">
        <f>+M46</f>
        <v>0</v>
      </c>
      <c r="N33" s="247"/>
      <c r="O33" s="247"/>
      <c r="P33" s="247"/>
    </row>
    <row r="34" spans="2:16" ht="36.6" thickBot="1">
      <c r="B34" s="1460"/>
      <c r="C34" s="73"/>
      <c r="D34" s="34" t="s">
        <v>440</v>
      </c>
      <c r="E34" s="34" t="s">
        <v>441</v>
      </c>
      <c r="F34" s="34" t="s">
        <v>442</v>
      </c>
      <c r="G34" s="34" t="s">
        <v>443</v>
      </c>
      <c r="H34" s="34" t="s">
        <v>444</v>
      </c>
      <c r="I34" s="17"/>
      <c r="J34" s="5"/>
      <c r="K34" s="251"/>
      <c r="L34" s="251" t="s">
        <v>417</v>
      </c>
      <c r="M34" s="249" t="e">
        <f>+M30/M33</f>
        <v>#DIV/0!</v>
      </c>
      <c r="N34" s="249"/>
      <c r="O34" s="249"/>
      <c r="P34" s="249"/>
    </row>
    <row r="35" spans="2:16" ht="15" customHeight="1" thickBot="1">
      <c r="B35" s="1460"/>
      <c r="C35" s="73"/>
      <c r="D35" s="25"/>
      <c r="E35" s="25"/>
      <c r="F35" s="163"/>
      <c r="G35" s="25"/>
      <c r="H35" s="25"/>
      <c r="I35" s="17"/>
      <c r="J35" s="5"/>
      <c r="K35" s="5"/>
      <c r="L35" s="5"/>
      <c r="M35" s="5"/>
      <c r="N35" s="5"/>
      <c r="O35" s="5"/>
      <c r="P35" s="5"/>
    </row>
    <row r="36" spans="2:16" ht="15" customHeight="1" thickBot="1">
      <c r="B36" s="1460"/>
      <c r="C36" s="73"/>
      <c r="D36" s="25"/>
      <c r="E36" s="25"/>
      <c r="F36" s="163"/>
      <c r="G36" s="25"/>
      <c r="H36" s="25"/>
      <c r="I36" s="17"/>
      <c r="J36" s="5"/>
      <c r="K36" s="5"/>
      <c r="L36" s="5"/>
    </row>
    <row r="37" spans="2:16" ht="15" customHeight="1" thickBot="1">
      <c r="B37" s="1460"/>
      <c r="C37" s="73"/>
      <c r="D37" s="25"/>
      <c r="E37" s="25"/>
      <c r="F37" s="163"/>
      <c r="G37" s="25"/>
      <c r="H37" s="25"/>
      <c r="I37" s="17"/>
      <c r="J37" s="5"/>
      <c r="K37" s="5"/>
      <c r="L37" t="s">
        <v>1209</v>
      </c>
    </row>
    <row r="38" spans="2:16" ht="15" customHeight="1" thickBot="1">
      <c r="B38" s="1460"/>
      <c r="C38" s="73"/>
      <c r="D38" s="25"/>
      <c r="E38" s="25"/>
      <c r="F38" s="163"/>
      <c r="G38" s="25"/>
      <c r="H38" s="25"/>
      <c r="I38" s="17"/>
      <c r="J38" s="5"/>
      <c r="K38" s="5"/>
      <c r="L38" s="5"/>
    </row>
    <row r="39" spans="2:16" ht="15" customHeight="1" thickBot="1">
      <c r="B39" s="1460"/>
      <c r="C39" s="73"/>
      <c r="D39" s="25"/>
      <c r="E39" s="25"/>
      <c r="F39" s="163"/>
      <c r="G39" s="25"/>
      <c r="H39" s="25"/>
      <c r="I39" s="17"/>
      <c r="J39" s="5"/>
      <c r="K39" s="1605" t="s">
        <v>1200</v>
      </c>
      <c r="L39" s="1605" t="s">
        <v>1210</v>
      </c>
      <c r="M39" s="1605" t="s">
        <v>1211</v>
      </c>
    </row>
    <row r="40" spans="2:16" ht="15" customHeight="1" thickBot="1">
      <c r="B40" s="1460"/>
      <c r="C40" s="73"/>
      <c r="D40" s="25"/>
      <c r="E40" s="25"/>
      <c r="F40" s="163"/>
      <c r="G40" s="25"/>
      <c r="H40" s="25"/>
      <c r="I40" s="17"/>
      <c r="J40" s="5"/>
      <c r="K40" s="1605"/>
      <c r="L40" s="1605"/>
      <c r="M40" s="1605"/>
    </row>
    <row r="41" spans="2:16" ht="15" thickBot="1">
      <c r="B41" s="1460"/>
      <c r="C41" s="73"/>
      <c r="D41" s="25"/>
      <c r="E41" s="25"/>
      <c r="F41" s="163"/>
      <c r="G41" s="25"/>
      <c r="H41" s="25"/>
      <c r="I41" s="17"/>
      <c r="J41" s="5"/>
      <c r="K41" s="251" t="str">
        <f>+K26</f>
        <v>Sin iniciar</v>
      </c>
      <c r="L41" s="280"/>
      <c r="M41" s="249">
        <v>0</v>
      </c>
    </row>
    <row r="42" spans="2:16" ht="15" thickBot="1">
      <c r="B42" s="1460"/>
      <c r="C42" s="73"/>
      <c r="D42" s="25"/>
      <c r="E42" s="25"/>
      <c r="F42" s="163"/>
      <c r="G42" s="25"/>
      <c r="H42" s="25"/>
      <c r="I42" s="17"/>
      <c r="J42" s="5"/>
      <c r="K42" s="251" t="str">
        <f>+K27</f>
        <v>En formulación</v>
      </c>
      <c r="L42" s="280"/>
      <c r="M42" s="253"/>
    </row>
    <row r="43" spans="2:16" ht="24" customHeight="1" thickBot="1">
      <c r="B43" s="1461"/>
      <c r="C43" s="72"/>
      <c r="D43" s="1472" t="s">
        <v>445</v>
      </c>
      <c r="E43" s="1473"/>
      <c r="F43" s="1473"/>
      <c r="G43" s="1473"/>
      <c r="H43" s="1473"/>
      <c r="I43" s="1474"/>
      <c r="J43" s="5"/>
      <c r="K43" s="251" t="str">
        <f>+K28</f>
        <v>En actualización</v>
      </c>
      <c r="L43" s="280"/>
      <c r="M43" s="253"/>
    </row>
    <row r="44" spans="2:16" ht="24" customHeight="1" thickBot="1">
      <c r="B44" s="37" t="s">
        <v>33</v>
      </c>
      <c r="C44" s="72"/>
      <c r="D44" s="1462" t="s">
        <v>446</v>
      </c>
      <c r="E44" s="1463"/>
      <c r="F44" s="1463"/>
      <c r="G44" s="1463"/>
      <c r="H44" s="1463"/>
      <c r="I44" s="1464"/>
      <c r="J44" s="5"/>
      <c r="K44" s="251" t="str">
        <f>+K29</f>
        <v>Plan forestal adoptado</v>
      </c>
      <c r="L44" s="280"/>
      <c r="M44" s="253"/>
    </row>
    <row r="45" spans="2:16" ht="24.6" thickBot="1">
      <c r="B45" s="37" t="s">
        <v>35</v>
      </c>
      <c r="C45" s="72"/>
      <c r="D45" s="1462" t="s">
        <v>345</v>
      </c>
      <c r="E45" s="1463"/>
      <c r="F45" s="1463"/>
      <c r="G45" s="1463"/>
      <c r="H45" s="1463"/>
      <c r="I45" s="1464"/>
      <c r="J45" s="5"/>
      <c r="K45" s="251" t="s">
        <v>150</v>
      </c>
      <c r="L45" s="247">
        <f>SUM(L41:L44)</f>
        <v>0</v>
      </c>
      <c r="M45" s="249" t="e">
        <f>+M46/L45</f>
        <v>#DIV/0!</v>
      </c>
    </row>
    <row r="46" spans="2:16" ht="15" customHeight="1" thickBot="1">
      <c r="B46" s="1"/>
      <c r="C46" s="64"/>
      <c r="D46" s="5"/>
      <c r="E46" s="5"/>
      <c r="F46" s="5"/>
      <c r="G46" s="5"/>
      <c r="H46" s="5"/>
      <c r="I46" s="5"/>
      <c r="J46" s="5"/>
      <c r="K46" s="251"/>
      <c r="L46" s="251" t="s">
        <v>1213</v>
      </c>
      <c r="M46" s="247">
        <f>+L41*M41+L42*M42+L43*M43+L44*M44</f>
        <v>0</v>
      </c>
    </row>
    <row r="47" spans="2:16" ht="24" customHeight="1" thickBot="1">
      <c r="B47" s="1469" t="s">
        <v>37</v>
      </c>
      <c r="C47" s="1470"/>
      <c r="D47" s="1470"/>
      <c r="E47" s="1471"/>
      <c r="F47" s="5"/>
      <c r="G47" s="5"/>
      <c r="H47" s="5"/>
      <c r="I47" s="5"/>
      <c r="J47" s="5"/>
      <c r="K47" s="5"/>
      <c r="L47" s="5"/>
      <c r="M47" s="5"/>
      <c r="N47" s="5"/>
    </row>
    <row r="48" spans="2:16" ht="15" customHeight="1" thickBot="1">
      <c r="B48" s="1459">
        <v>1</v>
      </c>
      <c r="C48" s="73"/>
      <c r="D48" s="38" t="s">
        <v>38</v>
      </c>
      <c r="E48" s="25" t="s">
        <v>1814</v>
      </c>
      <c r="F48" s="5"/>
      <c r="G48" s="5"/>
      <c r="H48" s="5"/>
      <c r="I48" s="5"/>
      <c r="J48" s="5"/>
      <c r="K48" s="5"/>
      <c r="L48" s="5"/>
      <c r="M48" s="5"/>
      <c r="N48" s="5"/>
    </row>
    <row r="49" spans="2:14" ht="15" customHeight="1" thickBot="1">
      <c r="B49" s="1460"/>
      <c r="C49" s="73"/>
      <c r="D49" s="32" t="s">
        <v>39</v>
      </c>
      <c r="E49" s="24" t="s">
        <v>2053</v>
      </c>
      <c r="F49" s="5"/>
      <c r="G49" s="5"/>
      <c r="H49" s="5"/>
      <c r="I49" s="5"/>
      <c r="J49" s="5"/>
      <c r="K49" s="5"/>
      <c r="L49" s="5"/>
      <c r="M49" s="5"/>
      <c r="N49" s="5"/>
    </row>
    <row r="50" spans="2:14" ht="15" customHeight="1" thickBot="1">
      <c r="B50" s="1460"/>
      <c r="C50" s="73"/>
      <c r="D50" s="32" t="s">
        <v>40</v>
      </c>
      <c r="E50" s="24" t="s">
        <v>1821</v>
      </c>
      <c r="F50" s="5"/>
      <c r="G50" s="5"/>
      <c r="H50" s="5"/>
      <c r="I50" s="5"/>
      <c r="J50" s="5"/>
      <c r="K50" s="5"/>
      <c r="L50" s="5"/>
      <c r="M50" s="5"/>
      <c r="N50" s="5"/>
    </row>
    <row r="51" spans="2:14" ht="15" customHeight="1" thickBot="1">
      <c r="B51" s="1460"/>
      <c r="C51" s="73"/>
      <c r="D51" s="32" t="s">
        <v>41</v>
      </c>
      <c r="E51" s="25" t="s">
        <v>2052</v>
      </c>
      <c r="F51" s="5"/>
      <c r="G51" s="5"/>
      <c r="H51" s="5"/>
      <c r="I51" s="5"/>
      <c r="J51" s="5"/>
      <c r="K51" s="5"/>
      <c r="L51" s="5"/>
      <c r="M51" s="5"/>
      <c r="N51" s="5"/>
    </row>
    <row r="52" spans="2:14" ht="15" customHeight="1" thickBot="1">
      <c r="B52" s="1460"/>
      <c r="C52" s="73"/>
      <c r="D52" s="32" t="s">
        <v>42</v>
      </c>
      <c r="E52" s="507" t="s">
        <v>1816</v>
      </c>
      <c r="F52" s="5"/>
      <c r="G52" s="5"/>
      <c r="H52" s="5"/>
      <c r="I52" s="5"/>
      <c r="J52" s="5"/>
      <c r="K52" s="5"/>
      <c r="L52" s="5"/>
    </row>
    <row r="53" spans="2:14" ht="15" customHeight="1" thickBot="1">
      <c r="B53" s="1460"/>
      <c r="C53" s="73"/>
      <c r="D53" s="32" t="s">
        <v>43</v>
      </c>
      <c r="E53" s="133">
        <v>3686626</v>
      </c>
      <c r="F53" s="5"/>
      <c r="G53" s="5"/>
      <c r="H53" s="5"/>
      <c r="I53" s="5"/>
      <c r="J53" s="5"/>
      <c r="K53" s="5"/>
      <c r="L53" s="5"/>
    </row>
    <row r="54" spans="2:14" ht="15" customHeight="1" thickBot="1">
      <c r="B54" s="1461"/>
      <c r="C54" s="2"/>
      <c r="D54" s="32" t="s">
        <v>44</v>
      </c>
      <c r="E54" s="24" t="s">
        <v>1817</v>
      </c>
      <c r="F54" s="5"/>
      <c r="G54" s="5"/>
      <c r="H54" s="5"/>
      <c r="I54" s="5"/>
      <c r="J54" s="5"/>
      <c r="K54" s="5"/>
      <c r="L54" s="5"/>
    </row>
    <row r="55" spans="2:14" ht="15" customHeight="1" thickBot="1">
      <c r="B55" s="1"/>
      <c r="C55" s="64"/>
      <c r="D55" s="5"/>
      <c r="E55" s="5"/>
      <c r="F55" s="5"/>
      <c r="G55" s="5"/>
      <c r="H55" s="5"/>
      <c r="I55" s="5"/>
      <c r="J55" s="5"/>
      <c r="K55" s="5"/>
      <c r="L55" s="5"/>
    </row>
    <row r="56" spans="2:14" ht="15" customHeight="1" thickBot="1">
      <c r="B56" s="1469" t="s">
        <v>45</v>
      </c>
      <c r="C56" s="1470"/>
      <c r="D56" s="1470"/>
      <c r="E56" s="1471"/>
      <c r="F56" s="5"/>
      <c r="G56" s="5"/>
      <c r="H56" s="5"/>
      <c r="I56" s="5"/>
      <c r="J56" s="5"/>
      <c r="K56" s="5"/>
      <c r="L56" s="5"/>
    </row>
    <row r="57" spans="2:14" ht="15" customHeight="1" thickBot="1">
      <c r="B57" s="1459">
        <v>1</v>
      </c>
      <c r="C57" s="73"/>
      <c r="D57" s="38" t="s">
        <v>38</v>
      </c>
      <c r="E57" s="28" t="s">
        <v>46</v>
      </c>
      <c r="F57" s="5"/>
      <c r="G57" s="5"/>
      <c r="H57" s="5"/>
      <c r="I57" s="5"/>
      <c r="J57" s="5"/>
      <c r="K57" s="5"/>
      <c r="L57" s="5"/>
    </row>
    <row r="58" spans="2:14" ht="48" customHeight="1" thickBot="1">
      <c r="B58" s="1460"/>
      <c r="C58" s="73"/>
      <c r="D58" s="32" t="s">
        <v>39</v>
      </c>
      <c r="E58" s="28" t="s">
        <v>159</v>
      </c>
      <c r="F58" s="5"/>
      <c r="G58" s="5"/>
      <c r="H58" s="5"/>
      <c r="I58" s="5"/>
      <c r="J58" s="5"/>
      <c r="K58" s="5"/>
      <c r="L58" s="5"/>
    </row>
    <row r="59" spans="2:14" ht="15" customHeight="1" thickBot="1">
      <c r="B59" s="1460"/>
      <c r="C59" s="73"/>
      <c r="D59" s="32" t="s">
        <v>40</v>
      </c>
      <c r="E59" s="194"/>
      <c r="F59" s="5"/>
      <c r="G59" s="5"/>
      <c r="H59" s="5"/>
      <c r="I59" s="5"/>
      <c r="J59" s="5"/>
      <c r="K59" s="5"/>
      <c r="L59" s="5"/>
    </row>
    <row r="60" spans="2:14" ht="15" customHeight="1" thickBot="1">
      <c r="B60" s="1460"/>
      <c r="C60" s="73"/>
      <c r="D60" s="32" t="s">
        <v>41</v>
      </c>
      <c r="E60" s="194"/>
      <c r="F60" s="5"/>
      <c r="G60" s="5"/>
      <c r="H60" s="5"/>
      <c r="I60" s="5"/>
      <c r="J60" s="5"/>
      <c r="K60" s="5"/>
      <c r="L60" s="5"/>
    </row>
    <row r="61" spans="2:14" ht="15" thickBot="1">
      <c r="B61" s="1460"/>
      <c r="C61" s="73"/>
      <c r="D61" s="32" t="s">
        <v>42</v>
      </c>
      <c r="E61" s="194"/>
      <c r="F61" s="5"/>
      <c r="G61" s="5"/>
      <c r="H61" s="5"/>
      <c r="I61" s="5"/>
      <c r="J61" s="5"/>
      <c r="K61" s="5"/>
      <c r="L61" s="5"/>
    </row>
    <row r="62" spans="2:14" ht="15" thickBot="1">
      <c r="B62" s="1460"/>
      <c r="C62" s="73"/>
      <c r="D62" s="32" t="s">
        <v>43</v>
      </c>
      <c r="E62" s="194"/>
      <c r="F62" s="5"/>
      <c r="G62" s="5"/>
      <c r="H62" s="5"/>
      <c r="I62" s="5"/>
      <c r="J62" s="5"/>
      <c r="K62" s="5"/>
      <c r="L62" s="5"/>
    </row>
    <row r="63" spans="2:14" ht="15" customHeight="1" thickBot="1">
      <c r="B63" s="1461"/>
      <c r="C63" s="2"/>
      <c r="D63" s="32" t="s">
        <v>44</v>
      </c>
      <c r="E63" s="194"/>
      <c r="F63" s="5"/>
      <c r="G63" s="5"/>
      <c r="H63" s="5"/>
      <c r="I63" s="5"/>
      <c r="J63" s="5"/>
      <c r="K63" s="5"/>
      <c r="L63" s="5"/>
    </row>
    <row r="64" spans="2:14" ht="15" customHeight="1" thickBot="1">
      <c r="B64" s="107"/>
      <c r="C64" s="80"/>
      <c r="D64" s="107"/>
      <c r="E64" s="5"/>
      <c r="F64" s="5"/>
      <c r="G64" s="5"/>
      <c r="H64" s="5"/>
      <c r="I64" s="5"/>
      <c r="J64" s="5"/>
      <c r="K64" s="5"/>
      <c r="L64" s="5"/>
    </row>
    <row r="65" spans="2:12" ht="15" customHeight="1">
      <c r="B65" s="106" t="s">
        <v>416</v>
      </c>
      <c r="C65" s="75"/>
      <c r="D65" s="5"/>
      <c r="E65" s="5"/>
      <c r="F65" s="5"/>
      <c r="G65" s="5"/>
      <c r="H65" s="5"/>
      <c r="I65" s="5"/>
      <c r="J65" s="5"/>
      <c r="K65" s="5"/>
      <c r="L65" s="5"/>
    </row>
    <row r="66" spans="2:12">
      <c r="B66" s="1599"/>
      <c r="C66" s="1600"/>
      <c r="D66" s="1601"/>
      <c r="E66" s="5"/>
      <c r="F66" s="5"/>
      <c r="G66" s="5"/>
      <c r="H66" s="5"/>
      <c r="I66" s="5"/>
      <c r="J66" s="5"/>
      <c r="K66" s="5"/>
      <c r="L66" s="5"/>
    </row>
    <row r="67" spans="2:12">
      <c r="B67" s="1602"/>
      <c r="C67" s="1603"/>
      <c r="D67" s="1604"/>
      <c r="E67" s="5"/>
      <c r="F67" s="5"/>
      <c r="G67" s="5"/>
      <c r="H67" s="5"/>
      <c r="I67" s="5"/>
      <c r="J67" s="5"/>
      <c r="K67" s="5"/>
      <c r="L67" s="5"/>
    </row>
    <row r="68" spans="2:12" ht="15" thickBot="1">
      <c r="B68" s="107"/>
      <c r="C68" s="80"/>
      <c r="D68" s="107"/>
      <c r="E68" s="5"/>
      <c r="F68" s="5"/>
      <c r="G68" s="5"/>
      <c r="H68" s="5"/>
      <c r="I68" s="5"/>
      <c r="J68" s="5"/>
      <c r="K68" s="5"/>
      <c r="L68" s="5"/>
    </row>
    <row r="69" spans="2:12" ht="15" thickBot="1">
      <c r="B69" s="1469" t="s">
        <v>48</v>
      </c>
      <c r="C69" s="1470"/>
      <c r="D69" s="1470"/>
      <c r="E69" s="1470"/>
      <c r="F69" s="1471"/>
      <c r="G69" s="5"/>
      <c r="H69" s="5"/>
      <c r="I69" s="5"/>
      <c r="J69" s="5"/>
      <c r="K69" s="5"/>
      <c r="L69" s="5"/>
    </row>
    <row r="70" spans="2:12" ht="24.6" thickBot="1">
      <c r="B70" s="37" t="s">
        <v>49</v>
      </c>
      <c r="C70" s="32" t="s">
        <v>50</v>
      </c>
      <c r="D70" s="32" t="s">
        <v>51</v>
      </c>
      <c r="E70" s="32" t="s">
        <v>52</v>
      </c>
      <c r="F70" s="5"/>
      <c r="G70" s="5"/>
      <c r="H70" s="5"/>
      <c r="I70" s="5"/>
      <c r="J70" s="5"/>
      <c r="K70" s="5"/>
      <c r="L70" s="5"/>
    </row>
    <row r="71" spans="2:12" ht="60.6" thickBot="1">
      <c r="B71" s="39">
        <v>42401</v>
      </c>
      <c r="C71" s="32">
        <v>0.01</v>
      </c>
      <c r="D71" s="40" t="s">
        <v>447</v>
      </c>
      <c r="E71" s="32"/>
      <c r="F71" s="5"/>
      <c r="G71" s="5"/>
      <c r="H71" s="5"/>
      <c r="I71" s="5"/>
      <c r="J71" s="5"/>
      <c r="K71" s="5"/>
    </row>
    <row r="72" spans="2:12">
      <c r="B72" s="1"/>
      <c r="C72" s="64"/>
      <c r="D72" s="5"/>
      <c r="E72" s="5"/>
      <c r="F72" s="5"/>
      <c r="G72" s="5"/>
      <c r="H72" s="5"/>
      <c r="I72" s="5"/>
      <c r="J72" s="5"/>
      <c r="K72" s="5"/>
    </row>
    <row r="73" spans="2:12" ht="15" thickBot="1">
      <c r="B73" s="5"/>
      <c r="D73" s="5"/>
      <c r="E73" s="5"/>
      <c r="F73" s="5"/>
      <c r="G73" s="5"/>
      <c r="H73" s="5"/>
      <c r="I73" s="5"/>
      <c r="J73" s="5"/>
      <c r="K73" s="5"/>
      <c r="L73" s="5"/>
    </row>
    <row r="74" spans="2:12" ht="15" thickBot="1">
      <c r="B74" s="1469" t="s">
        <v>55</v>
      </c>
      <c r="C74" s="1470"/>
      <c r="D74" s="1471"/>
      <c r="E74" s="5"/>
      <c r="F74" s="5"/>
      <c r="G74" s="5"/>
      <c r="H74" s="5"/>
      <c r="I74" s="5"/>
      <c r="J74" s="5"/>
      <c r="K74" s="5"/>
      <c r="L74" s="5"/>
    </row>
    <row r="75" spans="2:12" ht="36.6" thickBot="1">
      <c r="B75" s="37" t="s">
        <v>56</v>
      </c>
      <c r="C75" s="2"/>
      <c r="D75" s="32" t="s">
        <v>418</v>
      </c>
      <c r="E75" s="5"/>
      <c r="F75" s="5"/>
      <c r="G75" s="5"/>
      <c r="H75" s="5"/>
      <c r="I75" s="5"/>
      <c r="J75" s="5"/>
      <c r="K75" s="5"/>
      <c r="L75" s="5"/>
    </row>
    <row r="76" spans="2:12">
      <c r="B76" s="1459" t="s">
        <v>58</v>
      </c>
      <c r="C76" s="73"/>
      <c r="D76" s="43" t="s">
        <v>59</v>
      </c>
      <c r="E76" s="5"/>
      <c r="F76" s="5"/>
      <c r="G76" s="5"/>
      <c r="H76" s="5"/>
      <c r="I76" s="5"/>
      <c r="J76" s="5"/>
      <c r="K76" s="5"/>
      <c r="L76" s="5"/>
    </row>
    <row r="77" spans="2:12" ht="96">
      <c r="B77" s="1460"/>
      <c r="C77" s="73"/>
      <c r="D77" s="36" t="s">
        <v>419</v>
      </c>
      <c r="E77" s="5"/>
      <c r="F77" s="5"/>
      <c r="G77" s="5"/>
      <c r="H77" s="5"/>
      <c r="I77" s="5"/>
      <c r="J77" s="5"/>
      <c r="K77" s="5"/>
      <c r="L77" s="5"/>
    </row>
    <row r="78" spans="2:12">
      <c r="B78" s="1460"/>
      <c r="C78" s="73"/>
      <c r="D78" s="43" t="s">
        <v>62</v>
      </c>
      <c r="E78" s="5"/>
      <c r="F78" s="5"/>
      <c r="G78" s="5"/>
      <c r="H78" s="5"/>
      <c r="I78" s="5"/>
      <c r="J78" s="5"/>
      <c r="K78" s="5"/>
      <c r="L78" s="5"/>
    </row>
    <row r="79" spans="2:12">
      <c r="B79" s="1460"/>
      <c r="C79" s="73"/>
      <c r="D79" s="51" t="s">
        <v>420</v>
      </c>
      <c r="E79" s="5"/>
      <c r="F79" s="5"/>
      <c r="G79" s="5"/>
      <c r="H79" s="5"/>
      <c r="I79" s="5"/>
      <c r="J79" s="5"/>
      <c r="K79" s="5"/>
      <c r="L79" s="5"/>
    </row>
    <row r="80" spans="2:12">
      <c r="B80" s="1460"/>
      <c r="C80" s="73"/>
      <c r="D80" s="51" t="s">
        <v>421</v>
      </c>
      <c r="E80" s="5"/>
      <c r="F80" s="5"/>
      <c r="G80" s="5"/>
      <c r="H80" s="5"/>
      <c r="I80" s="5"/>
      <c r="J80" s="5"/>
      <c r="K80" s="5"/>
      <c r="L80" s="5"/>
    </row>
    <row r="81" spans="2:12">
      <c r="B81" s="1460"/>
      <c r="C81" s="73"/>
      <c r="D81" s="51" t="s">
        <v>422</v>
      </c>
      <c r="E81" s="5"/>
      <c r="F81" s="5"/>
      <c r="G81" s="5"/>
      <c r="H81" s="5"/>
      <c r="I81" s="5"/>
      <c r="J81" s="5"/>
      <c r="K81" s="5"/>
      <c r="L81" s="5"/>
    </row>
    <row r="82" spans="2:12">
      <c r="B82" s="1460"/>
      <c r="C82" s="73"/>
      <c r="D82" s="51" t="s">
        <v>423</v>
      </c>
      <c r="E82" s="5"/>
      <c r="F82" s="5"/>
      <c r="G82" s="5"/>
      <c r="H82" s="5"/>
      <c r="I82" s="5"/>
      <c r="J82" s="5"/>
      <c r="K82" s="5"/>
      <c r="L82" s="5"/>
    </row>
    <row r="83" spans="2:12">
      <c r="B83" s="1460"/>
      <c r="C83" s="73"/>
      <c r="D83" s="43" t="s">
        <v>287</v>
      </c>
      <c r="E83" s="5"/>
      <c r="F83" s="5"/>
      <c r="G83" s="5"/>
      <c r="H83" s="5"/>
      <c r="I83" s="5"/>
      <c r="J83" s="5"/>
      <c r="K83" s="5"/>
      <c r="L83" s="5"/>
    </row>
    <row r="84" spans="2:12" ht="24.6" thickBot="1">
      <c r="B84" s="1461"/>
      <c r="C84" s="2"/>
      <c r="D84" s="32" t="s">
        <v>352</v>
      </c>
      <c r="E84" s="5"/>
      <c r="F84" s="5"/>
      <c r="G84" s="5"/>
      <c r="H84" s="5"/>
      <c r="I84" s="5"/>
      <c r="J84" s="5"/>
      <c r="K84" s="5"/>
      <c r="L84" s="5"/>
    </row>
    <row r="85" spans="2:12">
      <c r="B85" s="1459" t="s">
        <v>71</v>
      </c>
      <c r="C85" s="78"/>
      <c r="D85" s="1459"/>
      <c r="E85" s="5"/>
      <c r="F85" s="5"/>
      <c r="G85" s="5"/>
      <c r="H85" s="5"/>
      <c r="I85" s="5"/>
      <c r="J85" s="5"/>
      <c r="K85" s="5"/>
      <c r="L85" s="5"/>
    </row>
    <row r="86" spans="2:12" ht="15" thickBot="1">
      <c r="B86" s="1461"/>
      <c r="C86" s="79"/>
      <c r="D86" s="1461"/>
      <c r="E86" s="5"/>
      <c r="F86" s="5"/>
      <c r="G86" s="5"/>
      <c r="H86" s="5"/>
      <c r="I86" s="5"/>
      <c r="J86" s="5"/>
      <c r="K86" s="5"/>
      <c r="L86" s="5"/>
    </row>
    <row r="87" spans="2:12" ht="96">
      <c r="B87" s="1459" t="s">
        <v>72</v>
      </c>
      <c r="C87" s="73"/>
      <c r="D87" s="36" t="s">
        <v>424</v>
      </c>
      <c r="E87" s="5"/>
      <c r="F87" s="5"/>
      <c r="G87" s="5"/>
      <c r="H87" s="5"/>
      <c r="I87" s="5"/>
      <c r="J87" s="5"/>
      <c r="K87" s="5"/>
      <c r="L87" s="5"/>
    </row>
    <row r="88" spans="2:12" ht="84.6" thickBot="1">
      <c r="B88" s="1461"/>
      <c r="C88" s="2"/>
      <c r="D88" s="32" t="s">
        <v>425</v>
      </c>
      <c r="E88" s="5"/>
      <c r="F88" s="5"/>
      <c r="G88" s="5"/>
      <c r="H88" s="5"/>
      <c r="I88" s="5"/>
      <c r="J88" s="5"/>
      <c r="K88" s="5"/>
      <c r="L88" s="5"/>
    </row>
    <row r="89" spans="2:12" ht="24">
      <c r="B89" s="1459" t="s">
        <v>89</v>
      </c>
      <c r="C89" s="73"/>
      <c r="D89" s="43" t="s">
        <v>417</v>
      </c>
      <c r="E89" s="5"/>
      <c r="F89" s="5"/>
      <c r="G89" s="5"/>
      <c r="H89" s="5"/>
      <c r="I89" s="5"/>
      <c r="J89" s="5"/>
      <c r="K89" s="5"/>
      <c r="L89" s="5"/>
    </row>
    <row r="90" spans="2:12">
      <c r="B90" s="1460"/>
      <c r="C90" s="73"/>
      <c r="D90" s="13"/>
      <c r="E90" s="5"/>
      <c r="F90" s="5"/>
      <c r="G90" s="5"/>
      <c r="H90" s="5"/>
      <c r="I90" s="5"/>
      <c r="J90" s="5"/>
      <c r="K90" s="5"/>
      <c r="L90" s="5"/>
    </row>
    <row r="91" spans="2:12">
      <c r="B91" s="1460"/>
      <c r="C91" s="73"/>
      <c r="D91" s="36" t="s">
        <v>90</v>
      </c>
      <c r="E91" s="5"/>
      <c r="F91" s="5"/>
      <c r="G91" s="5"/>
      <c r="H91" s="5"/>
      <c r="I91" s="5"/>
      <c r="J91" s="5"/>
      <c r="K91" s="5"/>
      <c r="L91" s="5"/>
    </row>
    <row r="92" spans="2:12" ht="26.4">
      <c r="B92" s="1460"/>
      <c r="C92" s="73"/>
      <c r="D92" s="36" t="s">
        <v>426</v>
      </c>
      <c r="E92" s="5"/>
      <c r="F92" s="5"/>
      <c r="G92" s="5"/>
      <c r="H92" s="5"/>
      <c r="I92" s="5"/>
      <c r="J92" s="5"/>
      <c r="K92" s="5"/>
      <c r="L92" s="5"/>
    </row>
    <row r="93" spans="2:12" ht="26.4">
      <c r="B93" s="1460"/>
      <c r="C93" s="73"/>
      <c r="D93" s="36" t="s">
        <v>427</v>
      </c>
      <c r="E93" s="5"/>
      <c r="F93" s="5"/>
      <c r="G93" s="5"/>
      <c r="H93" s="5"/>
      <c r="I93" s="5"/>
      <c r="J93" s="5"/>
      <c r="K93" s="5"/>
      <c r="L93" s="5"/>
    </row>
    <row r="94" spans="2:12" ht="27" thickBot="1">
      <c r="B94" s="1461"/>
      <c r="C94" s="2"/>
      <c r="D94" s="32" t="s">
        <v>428</v>
      </c>
      <c r="E94" s="5"/>
      <c r="F94" s="5"/>
      <c r="G94" s="5"/>
      <c r="H94" s="5"/>
      <c r="I94" s="5"/>
      <c r="J94" s="5"/>
      <c r="K94" s="5"/>
      <c r="L94" s="5"/>
    </row>
    <row r="95" spans="2:12">
      <c r="B95" s="5"/>
      <c r="D95" s="5"/>
      <c r="E95" s="5"/>
      <c r="F95" s="5"/>
      <c r="G95" s="5"/>
      <c r="H95" s="5"/>
      <c r="I95" s="5"/>
      <c r="J95" s="5"/>
      <c r="K95" s="5"/>
      <c r="L95" s="5"/>
    </row>
    <row r="96" spans="2:12">
      <c r="B96" s="5"/>
      <c r="D96" s="5"/>
      <c r="E96" s="5"/>
      <c r="F96" s="5"/>
      <c r="G96" s="5"/>
      <c r="H96" s="5"/>
      <c r="I96" s="5"/>
      <c r="J96" s="5"/>
      <c r="K96" s="5"/>
      <c r="L96" s="5"/>
    </row>
    <row r="97" spans="2:12">
      <c r="B97" s="5"/>
      <c r="D97" s="5"/>
      <c r="E97" s="5"/>
      <c r="F97" s="5"/>
      <c r="G97" s="5"/>
      <c r="H97" s="5"/>
      <c r="I97" s="5"/>
      <c r="J97" s="5"/>
      <c r="K97" s="5"/>
      <c r="L97" s="5"/>
    </row>
    <row r="98" spans="2:12">
      <c r="B98" s="5"/>
      <c r="D98" s="5"/>
      <c r="E98" s="5"/>
      <c r="F98" s="5"/>
      <c r="G98" s="5"/>
      <c r="H98" s="5"/>
      <c r="I98" s="5"/>
      <c r="J98" s="5"/>
      <c r="K98" s="5"/>
      <c r="L98" s="5"/>
    </row>
    <row r="99" spans="2:12">
      <c r="B99" s="5"/>
      <c r="D99" s="5"/>
      <c r="E99" s="5"/>
      <c r="F99" s="5"/>
      <c r="G99" s="5"/>
      <c r="H99" s="5"/>
      <c r="I99" s="5"/>
      <c r="J99" s="5"/>
      <c r="K99" s="5"/>
      <c r="L99" s="5"/>
    </row>
    <row r="100" spans="2:12">
      <c r="B100" s="5"/>
      <c r="D100" s="5"/>
      <c r="E100" s="5"/>
      <c r="F100" s="5"/>
      <c r="G100" s="5"/>
      <c r="H100" s="5"/>
      <c r="I100" s="5"/>
      <c r="J100" s="5"/>
      <c r="K100" s="5"/>
      <c r="L100" s="5"/>
    </row>
    <row r="101" spans="2:12">
      <c r="B101" s="5"/>
      <c r="D101" s="5"/>
      <c r="E101" s="5"/>
      <c r="F101" s="5"/>
      <c r="G101" s="5"/>
      <c r="H101" s="5"/>
      <c r="I101" s="5"/>
      <c r="J101" s="5"/>
      <c r="K101" s="5"/>
      <c r="L101" s="5"/>
    </row>
    <row r="102" spans="2:12">
      <c r="B102" s="5"/>
      <c r="D102" s="5"/>
      <c r="E102" s="5"/>
      <c r="F102" s="5"/>
      <c r="G102" s="5"/>
      <c r="H102" s="5"/>
      <c r="I102" s="5"/>
      <c r="J102" s="5"/>
      <c r="K102" s="5"/>
      <c r="L102" s="5"/>
    </row>
    <row r="103" spans="2:12">
      <c r="B103" s="5"/>
      <c r="D103" s="5"/>
      <c r="E103" s="5"/>
      <c r="F103" s="5"/>
      <c r="G103" s="5"/>
      <c r="H103" s="5"/>
      <c r="I103" s="5"/>
      <c r="J103" s="5"/>
      <c r="K103" s="5"/>
      <c r="L103" s="5"/>
    </row>
    <row r="104" spans="2:12">
      <c r="B104" s="5"/>
      <c r="D104" s="5"/>
      <c r="E104" s="5"/>
      <c r="F104" s="5"/>
      <c r="G104" s="5"/>
      <c r="H104" s="5"/>
      <c r="I104" s="5"/>
      <c r="J104" s="5"/>
      <c r="K104" s="5"/>
      <c r="L104" s="5"/>
    </row>
    <row r="105" spans="2:12">
      <c r="B105" s="5"/>
      <c r="D105" s="5"/>
      <c r="E105" s="5"/>
      <c r="F105" s="5"/>
      <c r="G105" s="5"/>
      <c r="H105" s="5"/>
      <c r="I105" s="5"/>
      <c r="J105" s="5"/>
      <c r="K105" s="5"/>
      <c r="L105" s="5"/>
    </row>
    <row r="106" spans="2:12">
      <c r="B106" s="5"/>
      <c r="D106" s="5"/>
      <c r="E106" s="5"/>
      <c r="F106" s="5"/>
      <c r="G106" s="5"/>
      <c r="H106" s="5"/>
      <c r="I106" s="5"/>
      <c r="J106" s="5"/>
      <c r="K106" s="5"/>
      <c r="L106" s="5"/>
    </row>
    <row r="107" spans="2:12">
      <c r="B107" s="5"/>
      <c r="D107" s="5"/>
      <c r="E107" s="5"/>
      <c r="F107" s="5"/>
      <c r="G107" s="5"/>
      <c r="H107" s="5"/>
      <c r="I107" s="5"/>
      <c r="J107" s="5"/>
      <c r="K107" s="5"/>
      <c r="L107" s="5"/>
    </row>
    <row r="108" spans="2:12">
      <c r="B108" s="5"/>
      <c r="D108" s="5"/>
      <c r="E108" s="5"/>
      <c r="F108" s="5"/>
      <c r="G108" s="5"/>
      <c r="H108" s="5"/>
      <c r="I108" s="5"/>
      <c r="J108" s="5"/>
      <c r="K108" s="5"/>
      <c r="L108" s="5"/>
    </row>
    <row r="109" spans="2:12">
      <c r="B109" s="5"/>
      <c r="D109" s="5"/>
      <c r="E109" s="5"/>
      <c r="F109" s="5"/>
      <c r="G109" s="5"/>
      <c r="H109" s="5"/>
      <c r="I109" s="5"/>
      <c r="J109" s="5"/>
      <c r="K109" s="5"/>
      <c r="L109" s="5"/>
    </row>
    <row r="110" spans="2:12">
      <c r="B110" s="5"/>
      <c r="D110" s="5"/>
      <c r="E110" s="5"/>
      <c r="F110" s="5"/>
      <c r="G110" s="5"/>
      <c r="H110" s="5"/>
      <c r="I110" s="5"/>
      <c r="J110" s="5"/>
      <c r="K110" s="5"/>
      <c r="L110" s="5"/>
    </row>
    <row r="111" spans="2:12">
      <c r="B111" s="5"/>
      <c r="D111" s="5"/>
      <c r="E111" s="5"/>
      <c r="F111" s="5"/>
      <c r="G111" s="5"/>
      <c r="H111" s="5"/>
      <c r="I111" s="5"/>
      <c r="J111" s="5"/>
      <c r="K111" s="5"/>
      <c r="L111" s="5"/>
    </row>
    <row r="112" spans="2:12">
      <c r="B112" s="5"/>
      <c r="D112" s="5"/>
      <c r="E112" s="5"/>
      <c r="F112" s="5"/>
      <c r="G112" s="5"/>
      <c r="H112" s="5"/>
      <c r="I112" s="5"/>
      <c r="J112" s="5"/>
      <c r="K112" s="5"/>
      <c r="L112" s="5"/>
    </row>
    <row r="113" spans="2:12">
      <c r="B113" s="5"/>
      <c r="D113" s="5"/>
      <c r="E113" s="5"/>
      <c r="F113" s="5"/>
      <c r="G113" s="5"/>
      <c r="H113" s="5"/>
      <c r="I113" s="5"/>
      <c r="J113" s="5"/>
      <c r="K113" s="5"/>
      <c r="L113" s="5"/>
    </row>
    <row r="114" spans="2:12">
      <c r="B114" s="5"/>
      <c r="D114" s="5"/>
      <c r="E114" s="5"/>
      <c r="F114" s="5"/>
      <c r="G114" s="5"/>
      <c r="H114" s="5"/>
      <c r="I114" s="5"/>
      <c r="J114" s="5"/>
      <c r="K114" s="5"/>
      <c r="L114" s="5"/>
    </row>
    <row r="115" spans="2:12">
      <c r="B115" s="5"/>
      <c r="D115" s="5"/>
      <c r="E115" s="5"/>
      <c r="F115" s="5"/>
      <c r="G115" s="5"/>
      <c r="H115" s="5"/>
      <c r="I115" s="5"/>
      <c r="J115" s="5"/>
      <c r="K115" s="5"/>
      <c r="L115" s="5"/>
    </row>
    <row r="116" spans="2:12">
      <c r="B116" s="5"/>
      <c r="D116" s="5"/>
      <c r="E116" s="5"/>
      <c r="F116" s="5"/>
      <c r="G116" s="5"/>
      <c r="H116" s="5"/>
      <c r="I116" s="5"/>
      <c r="J116" s="5"/>
      <c r="K116" s="5"/>
      <c r="L116" s="5"/>
    </row>
    <row r="117" spans="2:12">
      <c r="B117" s="5"/>
      <c r="D117" s="5"/>
      <c r="E117" s="5"/>
      <c r="F117" s="5"/>
      <c r="G117" s="5"/>
      <c r="H117" s="5"/>
      <c r="I117" s="5"/>
      <c r="J117" s="5"/>
      <c r="K117" s="5"/>
      <c r="L117" s="5"/>
    </row>
    <row r="118" spans="2:12">
      <c r="B118" s="5"/>
      <c r="D118" s="5"/>
      <c r="E118" s="5"/>
      <c r="F118" s="5"/>
      <c r="G118" s="5"/>
      <c r="H118" s="5"/>
      <c r="I118" s="5"/>
      <c r="J118" s="5"/>
      <c r="K118" s="5"/>
      <c r="L118" s="5"/>
    </row>
    <row r="119" spans="2:12">
      <c r="B119" s="5"/>
      <c r="D119" s="5"/>
      <c r="E119" s="5"/>
      <c r="F119" s="5"/>
      <c r="G119" s="5"/>
      <c r="H119" s="5"/>
      <c r="I119" s="5"/>
      <c r="J119" s="5"/>
      <c r="K119" s="5"/>
      <c r="L119" s="5"/>
    </row>
    <row r="120" spans="2:12">
      <c r="B120" s="5"/>
      <c r="D120" s="5"/>
      <c r="E120" s="5"/>
      <c r="F120" s="5"/>
      <c r="G120" s="5"/>
      <c r="H120" s="5"/>
      <c r="I120" s="5"/>
      <c r="J120" s="5"/>
      <c r="K120" s="5"/>
      <c r="L120" s="5"/>
    </row>
    <row r="121" spans="2:12">
      <c r="B121" s="5"/>
      <c r="D121" s="5"/>
      <c r="E121" s="5"/>
      <c r="F121" s="5"/>
      <c r="G121" s="5"/>
      <c r="H121" s="5"/>
      <c r="I121" s="5"/>
      <c r="J121" s="5"/>
      <c r="K121" s="5"/>
      <c r="L121" s="5"/>
    </row>
    <row r="122" spans="2:12">
      <c r="B122" s="5"/>
      <c r="D122" s="5"/>
      <c r="E122" s="5"/>
      <c r="F122" s="5"/>
      <c r="G122" s="5"/>
      <c r="H122" s="5"/>
      <c r="I122" s="5"/>
      <c r="J122" s="5"/>
      <c r="K122" s="5"/>
      <c r="L122" s="5"/>
    </row>
    <row r="123" spans="2:12">
      <c r="B123" s="5"/>
      <c r="D123" s="5"/>
      <c r="E123" s="5"/>
      <c r="F123" s="5"/>
      <c r="G123" s="5"/>
      <c r="H123" s="5"/>
      <c r="I123" s="5"/>
      <c r="J123" s="5"/>
      <c r="K123" s="5"/>
      <c r="L123" s="5"/>
    </row>
    <row r="124" spans="2:12">
      <c r="B124" s="5"/>
      <c r="D124" s="5"/>
      <c r="E124" s="5"/>
      <c r="F124" s="5"/>
      <c r="G124" s="5"/>
      <c r="H124" s="5"/>
      <c r="I124" s="5"/>
      <c r="J124" s="5"/>
      <c r="K124" s="5"/>
      <c r="L124" s="5"/>
    </row>
    <row r="125" spans="2:12">
      <c r="B125" s="5"/>
      <c r="D125" s="5"/>
      <c r="E125" s="5"/>
      <c r="F125" s="5"/>
      <c r="G125" s="5"/>
      <c r="H125" s="5"/>
      <c r="I125" s="5"/>
      <c r="J125" s="5"/>
      <c r="K125" s="5"/>
      <c r="L125" s="5"/>
    </row>
    <row r="126" spans="2:12">
      <c r="B126" s="5"/>
      <c r="D126" s="5"/>
      <c r="E126" s="5"/>
      <c r="F126" s="5"/>
      <c r="G126" s="5"/>
      <c r="H126" s="5"/>
      <c r="I126" s="5"/>
      <c r="J126" s="5"/>
      <c r="K126" s="5"/>
      <c r="L126" s="5"/>
    </row>
    <row r="127" spans="2:12">
      <c r="B127" s="5"/>
      <c r="D127" s="5"/>
      <c r="E127" s="5"/>
      <c r="F127" s="5"/>
      <c r="G127" s="5"/>
      <c r="H127" s="5"/>
      <c r="I127" s="5"/>
      <c r="J127" s="5"/>
      <c r="K127" s="5"/>
      <c r="L127" s="5"/>
    </row>
    <row r="128" spans="2:12">
      <c r="B128" s="5"/>
      <c r="D128" s="5"/>
      <c r="E128" s="5"/>
      <c r="F128" s="5"/>
      <c r="G128" s="5"/>
      <c r="H128" s="5"/>
      <c r="I128" s="5"/>
      <c r="J128" s="5"/>
      <c r="K128" s="5"/>
      <c r="L128" s="5"/>
    </row>
    <row r="129" spans="2:12">
      <c r="B129" s="5"/>
      <c r="D129" s="5"/>
      <c r="E129" s="5"/>
      <c r="F129" s="5"/>
      <c r="G129" s="5"/>
      <c r="H129" s="5"/>
      <c r="I129" s="5"/>
      <c r="J129" s="5"/>
      <c r="K129" s="5"/>
      <c r="L129" s="5"/>
    </row>
    <row r="130" spans="2:12">
      <c r="B130" s="5"/>
      <c r="D130" s="5"/>
      <c r="E130" s="5"/>
      <c r="F130" s="5"/>
      <c r="G130" s="5"/>
      <c r="H130" s="5"/>
      <c r="I130" s="5"/>
      <c r="J130" s="5"/>
      <c r="K130" s="5"/>
      <c r="L130" s="5"/>
    </row>
    <row r="131" spans="2:12">
      <c r="B131" s="5"/>
      <c r="D131" s="5"/>
      <c r="E131" s="5"/>
      <c r="F131" s="5"/>
      <c r="G131" s="5"/>
      <c r="H131" s="5"/>
      <c r="I131" s="5"/>
      <c r="J131" s="5"/>
      <c r="K131" s="5"/>
      <c r="L131" s="5"/>
    </row>
    <row r="132" spans="2:12">
      <c r="B132" s="5"/>
      <c r="D132" s="5"/>
      <c r="E132" s="5"/>
      <c r="F132" s="5"/>
      <c r="G132" s="5"/>
      <c r="H132" s="5"/>
      <c r="I132" s="5"/>
      <c r="J132" s="5"/>
      <c r="K132" s="5"/>
      <c r="L132" s="5"/>
    </row>
    <row r="133" spans="2:12">
      <c r="B133" s="5"/>
      <c r="D133" s="5"/>
      <c r="E133" s="5"/>
      <c r="F133" s="5"/>
      <c r="G133" s="5"/>
      <c r="H133" s="5"/>
      <c r="I133" s="5"/>
      <c r="J133" s="5"/>
      <c r="K133" s="5"/>
      <c r="L133" s="5"/>
    </row>
    <row r="134" spans="2:12">
      <c r="B134" s="5"/>
      <c r="D134" s="5"/>
      <c r="E134" s="5"/>
      <c r="F134" s="5"/>
      <c r="G134" s="5"/>
      <c r="H134" s="5"/>
      <c r="I134" s="5"/>
      <c r="J134" s="5"/>
      <c r="K134" s="5"/>
      <c r="L134" s="5"/>
    </row>
    <row r="135" spans="2:12">
      <c r="B135" s="5"/>
      <c r="D135" s="5"/>
      <c r="E135" s="5"/>
      <c r="F135" s="5"/>
      <c r="G135" s="5"/>
      <c r="H135" s="5"/>
      <c r="I135" s="5"/>
      <c r="J135" s="5"/>
      <c r="K135" s="5"/>
      <c r="L135" s="5"/>
    </row>
    <row r="136" spans="2:12">
      <c r="B136" s="5"/>
      <c r="D136" s="5"/>
      <c r="E136" s="5"/>
      <c r="F136" s="5"/>
      <c r="G136" s="5"/>
      <c r="H136" s="5"/>
      <c r="I136" s="5"/>
      <c r="J136" s="5"/>
      <c r="K136" s="5"/>
      <c r="L136" s="5"/>
    </row>
    <row r="137" spans="2:12">
      <c r="B137" s="5"/>
      <c r="D137" s="5"/>
      <c r="E137" s="5"/>
      <c r="F137" s="5"/>
      <c r="G137" s="5"/>
      <c r="H137" s="5"/>
      <c r="I137" s="5"/>
      <c r="J137" s="5"/>
      <c r="K137" s="5"/>
      <c r="L137" s="5"/>
    </row>
    <row r="138" spans="2:12">
      <c r="B138" s="5"/>
      <c r="D138" s="5"/>
      <c r="E138" s="5"/>
      <c r="F138" s="5"/>
      <c r="G138" s="5"/>
      <c r="H138" s="5"/>
      <c r="I138" s="5"/>
      <c r="J138" s="5"/>
      <c r="K138" s="5"/>
      <c r="L138" s="5"/>
    </row>
    <row r="139" spans="2:12">
      <c r="B139" s="5"/>
      <c r="D139" s="5"/>
      <c r="E139" s="5"/>
      <c r="F139" s="5"/>
      <c r="G139" s="5"/>
      <c r="H139" s="5"/>
      <c r="I139" s="5"/>
      <c r="J139" s="5"/>
      <c r="K139" s="5"/>
      <c r="L139" s="5"/>
    </row>
    <row r="140" spans="2:12">
      <c r="B140" s="5"/>
      <c r="D140" s="5"/>
      <c r="E140" s="5"/>
      <c r="F140" s="5"/>
      <c r="G140" s="5"/>
      <c r="H140" s="5"/>
      <c r="I140" s="5"/>
      <c r="J140" s="5"/>
      <c r="K140" s="5"/>
      <c r="L140" s="5"/>
    </row>
    <row r="141" spans="2:12">
      <c r="B141" s="5"/>
      <c r="D141" s="5"/>
      <c r="E141" s="5"/>
      <c r="F141" s="5"/>
      <c r="G141" s="5"/>
      <c r="H141" s="5"/>
      <c r="I141" s="5"/>
      <c r="J141" s="5"/>
      <c r="K141" s="5"/>
      <c r="L141" s="5"/>
    </row>
    <row r="142" spans="2:12">
      <c r="B142" s="5"/>
      <c r="D142" s="5"/>
      <c r="E142" s="5"/>
      <c r="F142" s="5"/>
      <c r="G142" s="5"/>
      <c r="H142" s="5"/>
      <c r="I142" s="5"/>
      <c r="J142" s="5"/>
      <c r="K142" s="5"/>
      <c r="L142" s="5"/>
    </row>
    <row r="143" spans="2:12">
      <c r="B143" s="5"/>
      <c r="D143" s="5"/>
      <c r="E143" s="5"/>
      <c r="F143" s="5"/>
      <c r="G143" s="5"/>
      <c r="H143" s="5"/>
      <c r="I143" s="5"/>
      <c r="J143" s="5"/>
      <c r="K143" s="5"/>
      <c r="L143" s="5"/>
    </row>
    <row r="144" spans="2:12">
      <c r="B144" s="5"/>
      <c r="D144" s="5"/>
      <c r="E144" s="5"/>
      <c r="F144" s="5"/>
      <c r="G144" s="5"/>
      <c r="H144" s="5"/>
      <c r="I144" s="5"/>
      <c r="J144" s="5"/>
      <c r="K144" s="5"/>
      <c r="L144" s="5"/>
    </row>
    <row r="145" spans="2:12">
      <c r="B145" s="5"/>
      <c r="D145" s="5"/>
      <c r="E145" s="5"/>
      <c r="F145" s="5"/>
      <c r="G145" s="5"/>
      <c r="H145" s="5"/>
      <c r="I145" s="5"/>
      <c r="J145" s="5"/>
      <c r="K145" s="5"/>
      <c r="L145" s="5"/>
    </row>
    <row r="146" spans="2:12">
      <c r="B146" s="5"/>
      <c r="D146" s="5"/>
      <c r="E146" s="5"/>
      <c r="F146" s="5"/>
      <c r="G146" s="5"/>
      <c r="H146" s="5"/>
      <c r="I146" s="5"/>
      <c r="J146" s="5"/>
      <c r="K146" s="5"/>
      <c r="L146" s="5"/>
    </row>
    <row r="147" spans="2:12">
      <c r="B147" s="5"/>
      <c r="D147" s="5"/>
      <c r="E147" s="5"/>
      <c r="F147" s="5"/>
      <c r="G147" s="5"/>
      <c r="H147" s="5"/>
      <c r="I147" s="5"/>
      <c r="J147" s="5"/>
      <c r="K147" s="5"/>
      <c r="L147" s="5"/>
    </row>
    <row r="148" spans="2:12">
      <c r="B148" s="5"/>
      <c r="D148" s="5"/>
      <c r="E148" s="5"/>
      <c r="F148" s="5"/>
      <c r="G148" s="5"/>
      <c r="H148" s="5"/>
      <c r="I148" s="5"/>
      <c r="J148" s="5"/>
      <c r="K148" s="5"/>
      <c r="L148" s="5"/>
    </row>
    <row r="149" spans="2:12">
      <c r="B149" s="5"/>
      <c r="D149" s="5"/>
      <c r="E149" s="5"/>
      <c r="F149" s="5"/>
      <c r="G149" s="5"/>
      <c r="H149" s="5"/>
      <c r="I149" s="5"/>
      <c r="J149" s="5"/>
      <c r="K149" s="5"/>
      <c r="L149" s="5"/>
    </row>
    <row r="150" spans="2:12">
      <c r="B150" s="5"/>
      <c r="D150" s="5"/>
      <c r="E150" s="5"/>
      <c r="F150" s="5"/>
      <c r="G150" s="5"/>
      <c r="H150" s="5"/>
      <c r="I150" s="5"/>
      <c r="J150" s="5"/>
      <c r="K150" s="5"/>
      <c r="L150" s="5"/>
    </row>
    <row r="151" spans="2:12">
      <c r="B151" s="5"/>
      <c r="D151" s="5"/>
      <c r="E151" s="5"/>
      <c r="F151" s="5"/>
      <c r="G151" s="5"/>
      <c r="H151" s="5"/>
      <c r="I151" s="5"/>
      <c r="J151" s="5"/>
      <c r="K151" s="5"/>
      <c r="L151" s="5"/>
    </row>
    <row r="152" spans="2:12">
      <c r="B152" s="5"/>
      <c r="D152" s="5"/>
      <c r="E152" s="5"/>
      <c r="F152" s="5"/>
      <c r="G152" s="5"/>
      <c r="H152" s="5"/>
      <c r="I152" s="5"/>
      <c r="J152" s="5"/>
      <c r="K152" s="5"/>
      <c r="L152" s="5"/>
    </row>
    <row r="153" spans="2:12">
      <c r="B153" s="5"/>
      <c r="D153" s="5"/>
      <c r="E153" s="5"/>
      <c r="F153" s="5"/>
      <c r="G153" s="5"/>
      <c r="H153" s="5"/>
      <c r="I153" s="5"/>
      <c r="J153" s="5"/>
      <c r="K153" s="5"/>
      <c r="L153" s="5"/>
    </row>
    <row r="154" spans="2:12">
      <c r="B154" s="5"/>
      <c r="D154" s="5"/>
      <c r="E154" s="5"/>
      <c r="F154" s="5"/>
      <c r="G154" s="5"/>
      <c r="H154" s="5"/>
      <c r="I154" s="5"/>
      <c r="J154" s="5"/>
      <c r="K154" s="5"/>
      <c r="L154" s="5"/>
    </row>
    <row r="155" spans="2:12">
      <c r="B155" s="5"/>
      <c r="D155" s="5"/>
      <c r="E155" s="5"/>
      <c r="F155" s="5"/>
      <c r="G155" s="5"/>
      <c r="H155" s="5"/>
      <c r="I155" s="5"/>
      <c r="J155" s="5"/>
      <c r="K155" s="5"/>
      <c r="L155" s="5"/>
    </row>
    <row r="156" spans="2:12">
      <c r="B156" s="5"/>
      <c r="D156" s="5"/>
      <c r="E156" s="5"/>
      <c r="F156" s="5"/>
      <c r="G156" s="5"/>
      <c r="H156" s="5"/>
      <c r="I156" s="5"/>
      <c r="J156" s="5"/>
      <c r="K156" s="5"/>
      <c r="L156" s="5"/>
    </row>
    <row r="157" spans="2:12">
      <c r="B157" s="5"/>
      <c r="D157" s="5"/>
      <c r="E157" s="5"/>
      <c r="F157" s="5"/>
      <c r="G157" s="5"/>
      <c r="H157" s="5"/>
      <c r="I157" s="5"/>
      <c r="J157" s="5"/>
      <c r="K157" s="5"/>
      <c r="L157" s="5"/>
    </row>
    <row r="158" spans="2:12">
      <c r="B158" s="5"/>
      <c r="D158" s="5"/>
      <c r="E158" s="5"/>
      <c r="F158" s="5"/>
      <c r="G158" s="5"/>
      <c r="H158" s="5"/>
      <c r="I158" s="5"/>
      <c r="J158" s="5"/>
      <c r="K158" s="5"/>
      <c r="L158" s="5"/>
    </row>
    <row r="159" spans="2:12">
      <c r="B159" s="5"/>
      <c r="D159" s="5"/>
      <c r="E159" s="5"/>
      <c r="F159" s="5"/>
      <c r="G159" s="5"/>
      <c r="H159" s="5"/>
      <c r="I159" s="5"/>
      <c r="J159" s="5"/>
      <c r="K159" s="5"/>
      <c r="L159" s="5"/>
    </row>
    <row r="160" spans="2:12">
      <c r="B160" s="5"/>
      <c r="D160" s="5"/>
      <c r="E160" s="5"/>
      <c r="F160" s="5"/>
      <c r="G160" s="5"/>
      <c r="H160" s="5"/>
      <c r="I160" s="5"/>
      <c r="J160" s="5"/>
      <c r="K160" s="5"/>
      <c r="L160" s="5"/>
    </row>
    <row r="161" spans="2:12">
      <c r="B161" s="5"/>
      <c r="D161" s="5"/>
      <c r="E161" s="5"/>
      <c r="F161" s="5"/>
      <c r="G161" s="5"/>
      <c r="H161" s="5"/>
      <c r="I161" s="5"/>
      <c r="J161" s="5"/>
      <c r="K161" s="5"/>
      <c r="L161" s="5"/>
    </row>
    <row r="162" spans="2:12">
      <c r="B162" s="5"/>
      <c r="D162" s="5"/>
      <c r="E162" s="5"/>
      <c r="F162" s="5"/>
      <c r="G162" s="5"/>
      <c r="H162" s="5"/>
      <c r="I162" s="5"/>
      <c r="J162" s="5"/>
      <c r="K162" s="5"/>
      <c r="L162" s="5"/>
    </row>
    <row r="163" spans="2:12">
      <c r="B163" s="5"/>
      <c r="D163" s="5"/>
      <c r="E163" s="5"/>
      <c r="F163" s="5"/>
      <c r="G163" s="5"/>
      <c r="H163" s="5"/>
      <c r="I163" s="5"/>
      <c r="J163" s="5"/>
      <c r="K163" s="5"/>
      <c r="L163" s="5"/>
    </row>
    <row r="164" spans="2:12">
      <c r="B164" s="5"/>
      <c r="D164" s="5"/>
      <c r="E164" s="5"/>
      <c r="F164" s="5"/>
      <c r="G164" s="5"/>
      <c r="H164" s="5"/>
      <c r="I164" s="5"/>
      <c r="J164" s="5"/>
      <c r="K164" s="5"/>
      <c r="L164" s="5"/>
    </row>
    <row r="165" spans="2:12">
      <c r="B165" s="5"/>
      <c r="D165" s="5"/>
      <c r="E165" s="5"/>
      <c r="F165" s="5"/>
      <c r="G165" s="5"/>
      <c r="H165" s="5"/>
      <c r="I165" s="5"/>
      <c r="J165" s="5"/>
      <c r="K165" s="5"/>
      <c r="L165" s="5"/>
    </row>
    <row r="166" spans="2:12">
      <c r="B166" s="5"/>
      <c r="D166" s="5"/>
      <c r="E166" s="5"/>
      <c r="F166" s="5"/>
      <c r="G166" s="5"/>
      <c r="H166" s="5"/>
      <c r="I166" s="5"/>
      <c r="J166" s="5"/>
      <c r="K166" s="5"/>
      <c r="L166" s="5"/>
    </row>
    <row r="167" spans="2:12">
      <c r="B167" s="5"/>
      <c r="D167" s="5"/>
      <c r="E167" s="5"/>
      <c r="F167" s="5"/>
      <c r="G167" s="5"/>
      <c r="H167" s="5"/>
      <c r="I167" s="5"/>
      <c r="J167" s="5"/>
      <c r="K167" s="5"/>
      <c r="L167" s="5"/>
    </row>
    <row r="168" spans="2:12">
      <c r="B168" s="5"/>
      <c r="D168" s="5"/>
      <c r="E168" s="5"/>
      <c r="F168" s="5"/>
      <c r="G168" s="5"/>
      <c r="H168" s="5"/>
      <c r="I168" s="5"/>
      <c r="J168" s="5"/>
      <c r="K168" s="5"/>
      <c r="L168" s="5"/>
    </row>
    <row r="169" spans="2:12">
      <c r="B169" s="5"/>
      <c r="D169" s="5"/>
      <c r="E169" s="5"/>
      <c r="F169" s="5"/>
      <c r="G169" s="5"/>
      <c r="H169" s="5"/>
      <c r="I169" s="5"/>
      <c r="J169" s="5"/>
      <c r="K169" s="5"/>
      <c r="L169" s="5"/>
    </row>
    <row r="170" spans="2:12">
      <c r="B170" s="5"/>
      <c r="D170" s="5"/>
      <c r="E170" s="5"/>
      <c r="F170" s="5"/>
      <c r="G170" s="5"/>
      <c r="H170" s="5"/>
      <c r="I170" s="5"/>
      <c r="J170" s="5"/>
      <c r="K170" s="5"/>
      <c r="L170" s="5"/>
    </row>
    <row r="171" spans="2:12">
      <c r="B171" s="5"/>
      <c r="D171" s="5"/>
      <c r="E171" s="5"/>
      <c r="F171" s="5"/>
      <c r="G171" s="5"/>
      <c r="H171" s="5"/>
      <c r="I171" s="5"/>
      <c r="J171" s="5"/>
      <c r="K171" s="5"/>
      <c r="L171" s="5"/>
    </row>
    <row r="172" spans="2:12">
      <c r="B172" s="5"/>
      <c r="D172" s="5"/>
      <c r="E172" s="5"/>
      <c r="F172" s="5"/>
      <c r="G172" s="5"/>
      <c r="H172" s="5"/>
      <c r="I172" s="5"/>
      <c r="J172" s="5"/>
      <c r="K172" s="5"/>
      <c r="L172" s="5"/>
    </row>
    <row r="173" spans="2:12">
      <c r="B173" s="5"/>
      <c r="D173" s="5"/>
      <c r="E173" s="5"/>
      <c r="F173" s="5"/>
      <c r="G173" s="5"/>
      <c r="H173" s="5"/>
      <c r="I173" s="5"/>
      <c r="J173" s="5"/>
      <c r="K173" s="5"/>
      <c r="L173" s="5"/>
    </row>
    <row r="174" spans="2:12">
      <c r="B174" s="5"/>
      <c r="D174" s="5"/>
      <c r="E174" s="5"/>
      <c r="F174" s="5"/>
      <c r="G174" s="5"/>
      <c r="H174" s="5"/>
      <c r="I174" s="5"/>
      <c r="J174" s="5"/>
      <c r="K174" s="5"/>
      <c r="L174" s="5"/>
    </row>
    <row r="175" spans="2:12">
      <c r="B175" s="5"/>
      <c r="D175" s="5"/>
      <c r="E175" s="5"/>
      <c r="F175" s="5"/>
      <c r="G175" s="5"/>
      <c r="H175" s="5"/>
      <c r="I175" s="5"/>
      <c r="J175" s="5"/>
      <c r="K175" s="5"/>
      <c r="L175" s="5"/>
    </row>
    <row r="176" spans="2:12">
      <c r="B176" s="5"/>
      <c r="D176" s="5"/>
      <c r="E176" s="5"/>
      <c r="F176" s="5"/>
      <c r="G176" s="5"/>
      <c r="H176" s="5"/>
      <c r="I176" s="5"/>
      <c r="J176" s="5"/>
      <c r="K176" s="5"/>
      <c r="L176" s="5"/>
    </row>
    <row r="177" spans="2:12">
      <c r="B177" s="5"/>
      <c r="D177" s="5"/>
      <c r="E177" s="5"/>
      <c r="F177" s="5"/>
      <c r="G177" s="5"/>
      <c r="H177" s="5"/>
      <c r="I177" s="5"/>
      <c r="J177" s="5"/>
      <c r="K177" s="5"/>
      <c r="L177" s="5"/>
    </row>
    <row r="178" spans="2:12">
      <c r="B178" s="5"/>
      <c r="D178" s="5"/>
      <c r="E178" s="5"/>
      <c r="F178" s="5"/>
      <c r="G178" s="5"/>
      <c r="H178" s="5"/>
      <c r="I178" s="5"/>
      <c r="J178" s="5"/>
      <c r="K178" s="5"/>
      <c r="L178" s="5"/>
    </row>
    <row r="179" spans="2:12">
      <c r="B179" s="5"/>
      <c r="D179" s="5"/>
      <c r="E179" s="5"/>
      <c r="F179" s="5"/>
      <c r="G179" s="5"/>
      <c r="H179" s="5"/>
      <c r="I179" s="5"/>
      <c r="J179" s="5"/>
      <c r="K179" s="5"/>
      <c r="L179" s="5"/>
    </row>
    <row r="180" spans="2:12">
      <c r="B180" s="5"/>
      <c r="D180" s="5"/>
      <c r="E180" s="5"/>
      <c r="F180" s="5"/>
      <c r="G180" s="5"/>
      <c r="H180" s="5"/>
      <c r="I180" s="5"/>
      <c r="J180" s="5"/>
      <c r="K180" s="5"/>
      <c r="L180" s="5"/>
    </row>
    <row r="181" spans="2:12">
      <c r="B181" s="5"/>
      <c r="D181" s="5"/>
      <c r="E181" s="5"/>
      <c r="F181" s="5"/>
      <c r="G181" s="5"/>
      <c r="H181" s="5"/>
      <c r="I181" s="5"/>
      <c r="J181" s="5"/>
      <c r="K181" s="5"/>
      <c r="L181" s="5"/>
    </row>
    <row r="182" spans="2:12">
      <c r="B182" s="5"/>
      <c r="D182" s="5"/>
      <c r="E182" s="5"/>
      <c r="F182" s="5"/>
      <c r="G182" s="5"/>
      <c r="H182" s="5"/>
      <c r="I182" s="5"/>
      <c r="J182" s="5"/>
      <c r="K182" s="5"/>
      <c r="L182" s="5"/>
    </row>
    <row r="183" spans="2:12">
      <c r="B183" s="5"/>
      <c r="D183" s="5"/>
      <c r="E183" s="5"/>
      <c r="F183" s="5"/>
      <c r="G183" s="5"/>
      <c r="H183" s="5"/>
      <c r="I183" s="5"/>
      <c r="J183" s="5"/>
      <c r="K183" s="5"/>
      <c r="L183" s="5"/>
    </row>
    <row r="184" spans="2:12">
      <c r="K184" s="5"/>
      <c r="L184" s="5"/>
    </row>
  </sheetData>
  <mergeCells count="41">
    <mergeCell ref="B10:D10"/>
    <mergeCell ref="F10:S10"/>
    <mergeCell ref="F11:S11"/>
    <mergeCell ref="E12:R12"/>
    <mergeCell ref="E13:R13"/>
    <mergeCell ref="N24:N25"/>
    <mergeCell ref="O24:O25"/>
    <mergeCell ref="P24:P25"/>
    <mergeCell ref="K24:K25"/>
    <mergeCell ref="K39:K40"/>
    <mergeCell ref="L39:L40"/>
    <mergeCell ref="M39:M40"/>
    <mergeCell ref="L24:L25"/>
    <mergeCell ref="M24:M25"/>
    <mergeCell ref="B89:B94"/>
    <mergeCell ref="B74:D74"/>
    <mergeCell ref="B76:B84"/>
    <mergeCell ref="B85:B86"/>
    <mergeCell ref="D85:D86"/>
    <mergeCell ref="B87:B88"/>
    <mergeCell ref="B15:B43"/>
    <mergeCell ref="D15:I15"/>
    <mergeCell ref="D22:I22"/>
    <mergeCell ref="D23:I23"/>
    <mergeCell ref="D31:I31"/>
    <mergeCell ref="D32:I32"/>
    <mergeCell ref="D33:I33"/>
    <mergeCell ref="D43:I43"/>
    <mergeCell ref="B69:F69"/>
    <mergeCell ref="D44:I44"/>
    <mergeCell ref="D45:I45"/>
    <mergeCell ref="B47:E47"/>
    <mergeCell ref="B48:B54"/>
    <mergeCell ref="B56:E56"/>
    <mergeCell ref="B57:B63"/>
    <mergeCell ref="B66:D67"/>
    <mergeCell ref="A1:P1"/>
    <mergeCell ref="A2:P2"/>
    <mergeCell ref="A3:P3"/>
    <mergeCell ref="A4:D4"/>
    <mergeCell ref="A5:P5"/>
  </mergeCells>
  <conditionalFormatting sqref="E12:R12">
    <cfRule type="expression" dxfId="83" priority="3">
      <formula>E11="SI SE REPORTA"</formula>
    </cfRule>
  </conditionalFormatting>
  <conditionalFormatting sqref="F10">
    <cfRule type="notContainsBlanks" dxfId="82" priority="6">
      <formula>LEN(TRIM(F10))&gt;0</formula>
    </cfRule>
  </conditionalFormatting>
  <conditionalFormatting sqref="F11:S11">
    <cfRule type="expression" dxfId="81" priority="1">
      <formula>E11="NO SE REPORTA"</formula>
    </cfRule>
    <cfRule type="expression" dxfId="80" priority="2">
      <formula>E10="NO APLICA"</formula>
    </cfRule>
  </conditionalFormatting>
  <conditionalFormatting sqref="I20">
    <cfRule type="containsErrors" dxfId="79" priority="8">
      <formula>ISERROR(I20)</formula>
    </cfRule>
  </conditionalFormatting>
  <conditionalFormatting sqref="I25">
    <cfRule type="containsText" dxfId="78" priority="7" operator="containsText" text="debe">
      <formula>NOT(ISERROR(SEARCH("debe",I25)))</formula>
    </cfRule>
  </conditionalFormatting>
  <dataValidations count="6">
    <dataValidation type="whole" operator="greaterThanOrEqual" allowBlank="1" showInputMessage="1" showErrorMessage="1" errorTitle="ERROR" error="Valor en HECTAREAS (sin decimales)" sqref="L41:L45 E21 E25:H29 F35:F42 I26:I30 E17:E19" xr:uid="{00000000-0002-0000-0F00-000000000000}">
      <formula1>0</formula1>
    </dataValidation>
    <dataValidation allowBlank="1" showInputMessage="1" showErrorMessage="1" promptTitle="ESTADO" prompt="en formulación_x000a_en actualización_x000a_en adopción_x000a_adoptado" sqref="G35:G42" xr:uid="{00000000-0002-0000-0F00-000001000000}"/>
    <dataValidation type="whole" errorStyle="warning" operator="equal" allowBlank="1" showInputMessage="1" showErrorMessage="1" error="LA SUMA DEBE SER IGUAL A LA META CUATRIENAL" promptTitle="OJO" prompt="LA SUMA DEBE SER IGUAL A LA META CUATRIENAL" sqref="I25" xr:uid="{00000000-0002-0000-0F00-000002000000}">
      <formula1>E20</formula1>
    </dataValidation>
    <dataValidation type="decimal" allowBlank="1" showInputMessage="1" showErrorMessage="1" errorTitle="ERROR" error="Escriba un valor entre 0% y 100%" sqref="L26:L29" xr:uid="{00000000-0002-0000-0F00-000003000000}">
      <formula1>0</formula1>
      <formula2>1</formula2>
    </dataValidation>
    <dataValidation type="list" allowBlank="1" showInputMessage="1" showErrorMessage="1" sqref="E11" xr:uid="{00000000-0002-0000-0F00-000004000000}">
      <formula1>REPORTE</formula1>
    </dataValidation>
    <dataValidation type="list" allowBlank="1" showInputMessage="1" showErrorMessage="1" sqref="E10" xr:uid="{00000000-0002-0000-0F00-000005000000}">
      <formula1>SI</formula1>
    </dataValidation>
  </dataValidations>
  <hyperlinks>
    <hyperlink ref="B9" location="'ANEXO 3'!A1" display="VOLVER AL INDICE" xr:uid="{00000000-0004-0000-0F00-000000000000}"/>
    <hyperlink ref="E52" r:id="rId1" xr:uid="{00000000-0004-0000-0F00-000001000000}"/>
  </hyperlinks>
  <pageMargins left="0.25" right="0.25" top="0.75" bottom="0.75" header="0.3" footer="0.3"/>
  <pageSetup paperSize="178" orientation="landscape" horizontalDpi="1200" verticalDpi="1200"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22"/>
  <dimension ref="A1:U182"/>
  <sheetViews>
    <sheetView showGridLines="0" topLeftCell="A10" zoomScale="77" zoomScaleNormal="77" workbookViewId="0">
      <selection activeCell="D18" sqref="D18"/>
    </sheetView>
  </sheetViews>
  <sheetFormatPr baseColWidth="10" defaultRowHeight="14.4"/>
  <cols>
    <col min="1" max="1" width="1.88671875" customWidth="1"/>
    <col min="2" max="2" width="12.88671875" customWidth="1"/>
    <col min="3" max="3" width="10" style="66" customWidth="1"/>
    <col min="4" max="4" width="44" customWidth="1"/>
    <col min="5" max="5" width="17.6640625" customWidth="1"/>
    <col min="6" max="6" width="15.88671875" customWidth="1"/>
    <col min="8" max="8" width="15.88671875" bestFit="1" customWidth="1"/>
    <col min="9" max="9" width="17.33203125" customWidth="1"/>
    <col min="10" max="10" width="14.6640625" bestFit="1" customWidth="1"/>
    <col min="11" max="11" width="13" bestFit="1" customWidth="1"/>
    <col min="12" max="12" width="77.5546875" customWidth="1"/>
  </cols>
  <sheetData>
    <row r="1" spans="1:21" s="314" customFormat="1" ht="100.5" customHeight="1" thickBot="1">
      <c r="A1" s="1421"/>
      <c r="B1" s="1422"/>
      <c r="C1" s="1422"/>
      <c r="D1" s="1422"/>
      <c r="E1" s="1422"/>
      <c r="F1" s="1422"/>
      <c r="G1" s="1422"/>
      <c r="H1" s="1422"/>
      <c r="I1" s="1422"/>
      <c r="J1" s="1422"/>
      <c r="K1" s="1422"/>
      <c r="L1" s="1422"/>
      <c r="M1" s="1422"/>
      <c r="N1" s="1422"/>
      <c r="O1" s="1422"/>
      <c r="P1" s="1423"/>
      <c r="Q1"/>
      <c r="R1"/>
    </row>
    <row r="2" spans="1:21" s="315" customFormat="1" ht="16.2" thickBot="1">
      <c r="A2" s="1418" t="str">
        <f>+'Datos Generales'!C5</f>
        <v>Corporación Autónoma Regional del Atlántico – CRA</v>
      </c>
      <c r="B2" s="1419"/>
      <c r="C2" s="1419"/>
      <c r="D2" s="1419"/>
      <c r="E2" s="1419"/>
      <c r="F2" s="1419"/>
      <c r="G2" s="1419"/>
      <c r="H2" s="1419"/>
      <c r="I2" s="1419"/>
      <c r="J2" s="1419"/>
      <c r="K2" s="1419"/>
      <c r="L2" s="1419"/>
      <c r="M2" s="1419"/>
      <c r="N2" s="1419"/>
      <c r="O2" s="1419"/>
      <c r="P2" s="1420"/>
      <c r="Q2"/>
      <c r="R2"/>
    </row>
    <row r="3" spans="1:21" s="315" customFormat="1" ht="16.2" thickBot="1">
      <c r="A3" s="1426" t="s">
        <v>1295</v>
      </c>
      <c r="B3" s="1427"/>
      <c r="C3" s="1427"/>
      <c r="D3" s="1427"/>
      <c r="E3" s="1427"/>
      <c r="F3" s="1427"/>
      <c r="G3" s="1427"/>
      <c r="H3" s="1427"/>
      <c r="I3" s="1427"/>
      <c r="J3" s="1427"/>
      <c r="K3" s="1427"/>
      <c r="L3" s="1427"/>
      <c r="M3" s="1427"/>
      <c r="N3" s="1427"/>
      <c r="O3" s="1427"/>
      <c r="P3" s="1428"/>
      <c r="Q3"/>
      <c r="R3"/>
    </row>
    <row r="4" spans="1:21" s="315" customFormat="1" ht="16.2" thickBot="1">
      <c r="A4" s="1424" t="s">
        <v>1294</v>
      </c>
      <c r="B4" s="1425"/>
      <c r="C4" s="1425"/>
      <c r="D4" s="1425"/>
      <c r="E4" s="322" t="str">
        <f>+'Datos Generales'!C6</f>
        <v>2023-II</v>
      </c>
      <c r="F4" s="322"/>
      <c r="G4" s="322"/>
      <c r="H4" s="322"/>
      <c r="I4" s="322"/>
      <c r="J4" s="322"/>
      <c r="K4" s="322"/>
      <c r="L4" s="323"/>
      <c r="M4" s="323"/>
      <c r="N4" s="323"/>
      <c r="O4" s="323"/>
      <c r="P4" s="324"/>
      <c r="Q4"/>
      <c r="R4"/>
    </row>
    <row r="5" spans="1:21" ht="16.5" customHeight="1" thickBot="1">
      <c r="A5" s="1426" t="s">
        <v>448</v>
      </c>
      <c r="B5" s="1427"/>
      <c r="C5" s="1427"/>
      <c r="D5" s="1427"/>
      <c r="E5" s="1427"/>
      <c r="F5" s="1427"/>
      <c r="G5" s="1427"/>
      <c r="H5" s="1427"/>
      <c r="I5" s="1427"/>
      <c r="J5" s="1427"/>
      <c r="K5" s="1427"/>
      <c r="L5" s="1427"/>
      <c r="M5" s="1427"/>
      <c r="N5" s="1427"/>
      <c r="O5" s="1427"/>
      <c r="P5" s="1428"/>
    </row>
    <row r="6" spans="1:21">
      <c r="B6" s="1" t="s">
        <v>1</v>
      </c>
      <c r="C6" s="64"/>
      <c r="D6" s="5"/>
      <c r="E6" s="62"/>
      <c r="F6" s="5" t="s">
        <v>127</v>
      </c>
      <c r="G6" s="5"/>
      <c r="H6" s="5"/>
      <c r="I6" s="5"/>
      <c r="J6" s="5"/>
      <c r="K6" s="5"/>
    </row>
    <row r="7" spans="1:21" ht="15" thickBot="1">
      <c r="B7" s="63"/>
      <c r="C7" s="65"/>
      <c r="D7" s="5"/>
      <c r="E7" s="14"/>
      <c r="F7" s="5" t="s">
        <v>128</v>
      </c>
      <c r="G7" s="5"/>
      <c r="H7" s="5"/>
      <c r="I7" s="5"/>
      <c r="J7" s="5"/>
      <c r="K7" s="5"/>
    </row>
    <row r="8" spans="1:21" ht="15" thickBot="1">
      <c r="B8" s="143" t="s">
        <v>1180</v>
      </c>
      <c r="C8" s="784">
        <v>2023</v>
      </c>
      <c r="D8" s="171">
        <f>IF(E10="NO APLICA","NO APLICA",IF(E11="NO SE REPORTA","SIN INFORMACION",+G20))</f>
        <v>1</v>
      </c>
      <c r="E8" s="168"/>
      <c r="F8" s="5" t="s">
        <v>129</v>
      </c>
      <c r="G8" s="5"/>
      <c r="H8" s="5"/>
      <c r="I8" s="5"/>
      <c r="J8" s="5"/>
      <c r="K8" s="5"/>
    </row>
    <row r="9" spans="1:21">
      <c r="B9" s="300" t="s">
        <v>1181</v>
      </c>
      <c r="D9" s="5"/>
      <c r="E9" s="5"/>
      <c r="F9" s="5"/>
      <c r="G9" s="5"/>
      <c r="H9" s="5"/>
      <c r="I9" s="5"/>
      <c r="J9" s="5"/>
      <c r="K9" s="5"/>
    </row>
    <row r="10" spans="1:21">
      <c r="B10" s="1429" t="s">
        <v>1236</v>
      </c>
      <c r="C10" s="1429"/>
      <c r="D10" s="1429"/>
      <c r="E10" s="303" t="s">
        <v>1233</v>
      </c>
      <c r="F10" s="1436"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437"/>
      <c r="H10" s="1437"/>
      <c r="I10" s="1437"/>
      <c r="J10" s="1437"/>
      <c r="K10" s="1437"/>
      <c r="L10" s="1437"/>
      <c r="M10" s="1437"/>
      <c r="N10" s="1437"/>
      <c r="O10" s="1437"/>
      <c r="P10" s="1437"/>
      <c r="Q10" s="1437"/>
      <c r="R10" s="1437"/>
      <c r="S10" s="1437"/>
      <c r="T10" s="5"/>
      <c r="U10" s="5"/>
    </row>
    <row r="11" spans="1:21" ht="14.4" customHeight="1">
      <c r="B11" s="302"/>
      <c r="C11" s="67"/>
      <c r="D11" s="144" t="str">
        <f>IF(E10="SI APLICA","¿El indicador no se reporta por limitaciones de información disponible? ","")</f>
        <v xml:space="preserve">¿El indicador no se reporta por limitaciones de información disponible? </v>
      </c>
      <c r="E11" s="304" t="s">
        <v>1235</v>
      </c>
      <c r="F11" s="1430"/>
      <c r="G11" s="1431"/>
      <c r="H11" s="1431"/>
      <c r="I11" s="1431"/>
      <c r="J11" s="1431"/>
      <c r="K11" s="1431"/>
      <c r="L11" s="1431"/>
      <c r="M11" s="1431"/>
      <c r="N11" s="1431"/>
      <c r="O11" s="1431"/>
      <c r="P11" s="1431"/>
      <c r="Q11" s="1431"/>
      <c r="R11" s="1431"/>
      <c r="S11" s="1431"/>
    </row>
    <row r="12" spans="1:21" ht="42.75" customHeight="1">
      <c r="B12" s="300"/>
      <c r="C12" s="67"/>
      <c r="D12" s="144" t="str">
        <f>IF(E11="SI SE REPORTA","¿Qué programas o proyectos del Plan de Acción están asociados al indicador? ","")</f>
        <v xml:space="preserve">¿Qué programas o proyectos del Plan de Acción están asociados al indicador? </v>
      </c>
      <c r="E12" s="1432" t="s">
        <v>1927</v>
      </c>
      <c r="F12" s="1432"/>
      <c r="G12" s="1432"/>
      <c r="H12" s="1432"/>
      <c r="I12" s="1432"/>
      <c r="J12" s="1432"/>
      <c r="K12" s="1432"/>
      <c r="L12" s="1432"/>
      <c r="M12" s="1432"/>
      <c r="N12" s="1432"/>
      <c r="O12" s="1432"/>
      <c r="P12" s="1432"/>
      <c r="Q12" s="1432"/>
      <c r="R12" s="1432"/>
    </row>
    <row r="13" spans="1:21" ht="21.9" customHeight="1">
      <c r="B13" s="300"/>
      <c r="C13" s="67"/>
      <c r="D13" s="144" t="s">
        <v>1238</v>
      </c>
      <c r="E13" s="1433"/>
      <c r="F13" s="1434"/>
      <c r="G13" s="1434"/>
      <c r="H13" s="1434"/>
      <c r="I13" s="1434"/>
      <c r="J13" s="1434"/>
      <c r="K13" s="1434"/>
      <c r="L13" s="1434"/>
      <c r="M13" s="1434"/>
      <c r="N13" s="1434"/>
      <c r="O13" s="1434"/>
      <c r="P13" s="1434"/>
      <c r="Q13" s="1434"/>
      <c r="R13" s="1435"/>
    </row>
    <row r="14" spans="1:21" ht="6.9" customHeight="1" thickBot="1">
      <c r="B14" s="300"/>
      <c r="D14" s="5"/>
      <c r="E14" s="5"/>
      <c r="F14" s="5"/>
      <c r="G14" s="5"/>
      <c r="H14" s="5"/>
      <c r="I14" s="5"/>
      <c r="J14" s="5"/>
      <c r="K14" s="5"/>
    </row>
    <row r="15" spans="1:21" ht="15.6" customHeight="1" thickTop="1" thickBot="1">
      <c r="B15" s="1612" t="s">
        <v>2</v>
      </c>
      <c r="C15" s="68"/>
      <c r="D15" s="1450" t="s">
        <v>335</v>
      </c>
      <c r="E15" s="1451"/>
      <c r="F15" s="1451"/>
      <c r="G15" s="1451"/>
      <c r="H15" s="1451"/>
      <c r="I15" s="1451"/>
      <c r="J15" s="1451"/>
      <c r="K15" s="1451"/>
      <c r="L15" s="1624"/>
    </row>
    <row r="16" spans="1:21" ht="24.6" thickBot="1">
      <c r="B16" s="1613"/>
      <c r="C16" s="73"/>
      <c r="D16" s="34" t="s">
        <v>462</v>
      </c>
      <c r="E16" s="34" t="s">
        <v>463</v>
      </c>
      <c r="F16" s="34" t="s">
        <v>464</v>
      </c>
      <c r="G16" s="34" t="s">
        <v>465</v>
      </c>
      <c r="H16" s="5"/>
      <c r="I16" s="5"/>
      <c r="J16" s="5"/>
      <c r="K16" s="5"/>
      <c r="L16" s="10"/>
    </row>
    <row r="17" spans="2:12" ht="24.6" thickBot="1">
      <c r="B17" s="1613"/>
      <c r="C17" s="73"/>
      <c r="D17" s="32" t="s">
        <v>466</v>
      </c>
      <c r="E17" s="441">
        <v>5</v>
      </c>
      <c r="F17" s="441">
        <v>0</v>
      </c>
      <c r="G17" s="523">
        <f>+E17+F17</f>
        <v>5</v>
      </c>
      <c r="H17" s="5"/>
      <c r="I17" s="5"/>
      <c r="J17" s="5"/>
      <c r="K17" s="5"/>
      <c r="L17" s="10"/>
    </row>
    <row r="18" spans="2:12" ht="31.5" customHeight="1" thickBot="1">
      <c r="B18" s="1613"/>
      <c r="C18" s="73"/>
      <c r="D18" s="32" t="s">
        <v>467</v>
      </c>
      <c r="E18" s="441">
        <v>5</v>
      </c>
      <c r="F18" s="441"/>
      <c r="G18" s="523">
        <f>+E18+F18</f>
        <v>5</v>
      </c>
      <c r="H18" s="5"/>
      <c r="I18" s="5"/>
      <c r="J18" s="5"/>
      <c r="K18" s="5"/>
      <c r="L18" s="10"/>
    </row>
    <row r="19" spans="2:12" ht="30.75" customHeight="1" thickBot="1">
      <c r="B19" s="1613"/>
      <c r="C19" s="73"/>
      <c r="D19" s="32" t="s">
        <v>468</v>
      </c>
      <c r="E19" s="441">
        <v>5</v>
      </c>
      <c r="F19" s="441"/>
      <c r="G19" s="523">
        <f>+E19+F19</f>
        <v>5</v>
      </c>
      <c r="H19" s="520"/>
      <c r="I19" s="5"/>
      <c r="J19" s="5"/>
      <c r="K19" s="5"/>
      <c r="L19" s="10"/>
    </row>
    <row r="20" spans="2:12" ht="30" customHeight="1" thickBot="1">
      <c r="B20" s="1613"/>
      <c r="C20" s="73"/>
      <c r="D20" s="32" t="s">
        <v>448</v>
      </c>
      <c r="E20" s="148">
        <f>IFERROR(E19/E18,"N.A.")</f>
        <v>1</v>
      </c>
      <c r="F20" s="148" t="str">
        <f>IFERROR(F19/F18,"N.A.")</f>
        <v>N.A.</v>
      </c>
      <c r="G20" s="114">
        <f>IFERROR(G19/G18,0)</f>
        <v>1</v>
      </c>
      <c r="H20" s="5"/>
      <c r="I20" s="5"/>
      <c r="J20" s="5"/>
      <c r="K20" s="5"/>
      <c r="L20" s="10"/>
    </row>
    <row r="21" spans="2:12">
      <c r="B21" s="1613"/>
      <c r="C21" s="71"/>
      <c r="D21" s="1441"/>
      <c r="E21" s="1442"/>
      <c r="F21" s="1442"/>
      <c r="G21" s="1442"/>
      <c r="H21" s="1442"/>
      <c r="I21" s="1442"/>
      <c r="J21" s="1442"/>
      <c r="K21" s="1442"/>
      <c r="L21" s="1607"/>
    </row>
    <row r="22" spans="2:12">
      <c r="B22" s="1613"/>
      <c r="C22" s="71"/>
      <c r="D22" s="1453" t="s">
        <v>245</v>
      </c>
      <c r="E22" s="1454"/>
      <c r="F22" s="1454"/>
      <c r="G22" s="1454"/>
      <c r="H22" s="1454"/>
      <c r="I22" s="1454"/>
      <c r="J22" s="1454"/>
      <c r="K22" s="1454"/>
      <c r="L22" s="1608"/>
    </row>
    <row r="23" spans="2:12">
      <c r="B23" s="1613"/>
      <c r="C23" s="71"/>
      <c r="D23" s="1453" t="s">
        <v>469</v>
      </c>
      <c r="E23" s="1454"/>
      <c r="F23" s="1454"/>
      <c r="G23" s="1454"/>
      <c r="H23" s="1454"/>
      <c r="I23" s="1454"/>
      <c r="J23" s="1454"/>
      <c r="K23" s="1454"/>
      <c r="L23" s="1608"/>
    </row>
    <row r="24" spans="2:12" ht="15" thickBot="1">
      <c r="B24" s="1613"/>
      <c r="C24" s="71"/>
      <c r="D24" s="1472" t="s">
        <v>339</v>
      </c>
      <c r="E24" s="1473"/>
      <c r="F24" s="1473"/>
      <c r="G24" s="1473"/>
      <c r="H24" s="1473"/>
      <c r="I24" s="1473"/>
      <c r="J24" s="1473"/>
      <c r="K24" s="1473"/>
      <c r="L24" s="1609"/>
    </row>
    <row r="25" spans="2:12" ht="15.6" customHeight="1">
      <c r="B25" s="175"/>
      <c r="C25" s="1620" t="s">
        <v>18</v>
      </c>
      <c r="D25" s="1610" t="s">
        <v>269</v>
      </c>
      <c r="E25" s="1610" t="s">
        <v>470</v>
      </c>
      <c r="F25" s="1610" t="s">
        <v>381</v>
      </c>
      <c r="G25" s="1622" t="s">
        <v>471</v>
      </c>
      <c r="H25" s="733" t="s">
        <v>472</v>
      </c>
      <c r="I25" s="733" t="s">
        <v>474</v>
      </c>
      <c r="J25" s="1610" t="s">
        <v>273</v>
      </c>
      <c r="K25" s="1610" t="s">
        <v>274</v>
      </c>
      <c r="L25" s="1610" t="s">
        <v>54</v>
      </c>
    </row>
    <row r="26" spans="2:12" ht="35.25" customHeight="1" thickBot="1">
      <c r="B26" s="175"/>
      <c r="C26" s="1621"/>
      <c r="D26" s="1611"/>
      <c r="E26" s="1611"/>
      <c r="F26" s="1611"/>
      <c r="G26" s="1623"/>
      <c r="H26" s="734" t="s">
        <v>473</v>
      </c>
      <c r="I26" s="734" t="s">
        <v>475</v>
      </c>
      <c r="J26" s="1611"/>
      <c r="K26" s="1611"/>
      <c r="L26" s="1611"/>
    </row>
    <row r="27" spans="2:12" ht="56.25" customHeight="1" thickBot="1">
      <c r="B27" s="175"/>
      <c r="C27" s="573"/>
      <c r="D27" s="583" t="s">
        <v>1839</v>
      </c>
      <c r="E27" s="795"/>
      <c r="F27" s="575" t="s">
        <v>1837</v>
      </c>
      <c r="G27" s="575"/>
      <c r="H27" s="576"/>
      <c r="I27" s="576"/>
      <c r="J27" s="576"/>
      <c r="K27" s="576"/>
      <c r="L27" s="796" t="s">
        <v>2032</v>
      </c>
    </row>
    <row r="28" spans="2:12" ht="68.25" customHeight="1" thickBot="1">
      <c r="B28" s="175"/>
      <c r="C28" s="573"/>
      <c r="D28" s="731" t="s">
        <v>1838</v>
      </c>
      <c r="E28" s="793"/>
      <c r="F28" s="732" t="s">
        <v>1837</v>
      </c>
      <c r="G28" s="732"/>
      <c r="H28" s="794"/>
      <c r="I28" s="794"/>
      <c r="J28" s="794"/>
      <c r="K28" s="794"/>
      <c r="L28" s="796" t="s">
        <v>2032</v>
      </c>
    </row>
    <row r="29" spans="2:12" ht="51" customHeight="1" thickBot="1">
      <c r="B29" s="175"/>
      <c r="C29" s="573"/>
      <c r="D29" s="521" t="s">
        <v>1840</v>
      </c>
      <c r="E29" s="579"/>
      <c r="F29" s="574" t="s">
        <v>1837</v>
      </c>
      <c r="G29" s="574"/>
      <c r="H29" s="790"/>
      <c r="I29" s="790"/>
      <c r="J29" s="790"/>
      <c r="K29" s="790"/>
      <c r="L29" s="796" t="s">
        <v>2032</v>
      </c>
    </row>
    <row r="30" spans="2:12" ht="56.25" customHeight="1" thickBot="1">
      <c r="B30" s="175"/>
      <c r="C30" s="573"/>
      <c r="D30" s="521" t="s">
        <v>1841</v>
      </c>
      <c r="E30" s="580"/>
      <c r="F30" s="574" t="s">
        <v>1837</v>
      </c>
      <c r="G30" s="574"/>
      <c r="H30" s="790"/>
      <c r="I30" s="790"/>
      <c r="J30" s="791"/>
      <c r="K30" s="792"/>
      <c r="L30" s="796" t="s">
        <v>2032</v>
      </c>
    </row>
    <row r="31" spans="2:12" ht="79.5" customHeight="1" thickBot="1">
      <c r="B31" s="175"/>
      <c r="C31" s="573"/>
      <c r="D31" s="584" t="s">
        <v>1928</v>
      </c>
      <c r="E31" s="581"/>
      <c r="F31" s="577"/>
      <c r="G31" s="577"/>
      <c r="H31" s="848">
        <v>350000000</v>
      </c>
      <c r="I31" s="849">
        <v>350000000</v>
      </c>
      <c r="J31" s="849">
        <v>350000000</v>
      </c>
      <c r="K31" s="849">
        <v>34734360</v>
      </c>
      <c r="L31" s="707" t="s">
        <v>1985</v>
      </c>
    </row>
    <row r="32" spans="2:12" ht="111.75" customHeight="1" thickBot="1">
      <c r="B32" s="175"/>
      <c r="C32" s="573"/>
      <c r="D32" s="797" t="s">
        <v>1929</v>
      </c>
      <c r="E32" s="582"/>
      <c r="F32" s="578"/>
      <c r="G32" s="578"/>
      <c r="H32" s="850">
        <v>500000000</v>
      </c>
      <c r="I32" s="850">
        <v>500000000</v>
      </c>
      <c r="J32" s="851">
        <v>495010937</v>
      </c>
      <c r="K32" s="851">
        <v>472359666</v>
      </c>
      <c r="L32" s="708" t="s">
        <v>1986</v>
      </c>
    </row>
    <row r="33" spans="2:12" s="316" customFormat="1" ht="33.75" customHeight="1" thickBot="1">
      <c r="B33" s="491"/>
      <c r="C33" s="585"/>
      <c r="D33" s="798" t="s">
        <v>150</v>
      </c>
      <c r="E33" s="585"/>
      <c r="F33" s="585"/>
      <c r="G33" s="585"/>
      <c r="H33" s="586">
        <f>SUM(H27:H32)</f>
        <v>850000000</v>
      </c>
      <c r="I33" s="763">
        <f>SUM(I27:I32)</f>
        <v>850000000</v>
      </c>
      <c r="J33" s="586">
        <f>SUM(J27:J32)</f>
        <v>845010937</v>
      </c>
      <c r="K33" s="586">
        <f>SUM(K27:K32)</f>
        <v>507094026</v>
      </c>
      <c r="L33" s="587"/>
    </row>
    <row r="34" spans="2:12" ht="24" customHeight="1" thickBot="1">
      <c r="B34" s="61" t="s">
        <v>33</v>
      </c>
      <c r="C34" s="86"/>
      <c r="D34" s="1462" t="s">
        <v>476</v>
      </c>
      <c r="E34" s="1463"/>
      <c r="F34" s="1463"/>
      <c r="G34" s="1463"/>
      <c r="H34" s="1463"/>
      <c r="I34" s="1463"/>
      <c r="J34" s="1463"/>
      <c r="K34" s="1463"/>
      <c r="L34" s="1606"/>
    </row>
    <row r="35" spans="2:12" ht="24" customHeight="1" thickBot="1">
      <c r="B35" s="61" t="s">
        <v>35</v>
      </c>
      <c r="C35" s="86"/>
      <c r="D35" s="1462" t="s">
        <v>345</v>
      </c>
      <c r="E35" s="1463"/>
      <c r="F35" s="1463"/>
      <c r="G35" s="1463"/>
      <c r="H35" s="1463"/>
      <c r="I35" s="1463"/>
      <c r="J35" s="1463"/>
      <c r="K35" s="1463"/>
      <c r="L35" s="1606"/>
    </row>
    <row r="36" spans="2:12" ht="15" thickBot="1">
      <c r="B36" s="1"/>
      <c r="C36" s="64"/>
      <c r="D36" s="5"/>
      <c r="E36" s="5"/>
      <c r="F36" s="5"/>
      <c r="G36" s="5"/>
      <c r="H36" s="5"/>
      <c r="I36" s="5"/>
      <c r="J36" s="5"/>
      <c r="K36" s="5"/>
    </row>
    <row r="37" spans="2:12" ht="24" customHeight="1" thickBot="1">
      <c r="B37" s="1469" t="s">
        <v>37</v>
      </c>
      <c r="C37" s="1470"/>
      <c r="D37" s="1470"/>
      <c r="E37" s="1471"/>
      <c r="F37" s="5"/>
      <c r="G37" s="5"/>
      <c r="H37" s="5"/>
      <c r="I37" s="5"/>
      <c r="J37" s="5"/>
      <c r="K37" s="5"/>
    </row>
    <row r="38" spans="2:12" ht="15" thickBot="1">
      <c r="B38" s="1459">
        <v>1</v>
      </c>
      <c r="C38" s="73"/>
      <c r="D38" s="38" t="s">
        <v>38</v>
      </c>
      <c r="E38" s="25" t="s">
        <v>1814</v>
      </c>
      <c r="F38" s="5"/>
      <c r="G38" s="5"/>
      <c r="H38" s="5"/>
      <c r="I38" s="5"/>
      <c r="J38" s="5"/>
      <c r="K38" s="5"/>
    </row>
    <row r="39" spans="2:12" ht="24.6" thickBot="1">
      <c r="B39" s="1460"/>
      <c r="C39" s="73"/>
      <c r="D39" s="32" t="s">
        <v>39</v>
      </c>
      <c r="E39" s="24" t="s">
        <v>1842</v>
      </c>
      <c r="F39" s="5"/>
      <c r="G39" s="5"/>
      <c r="H39" s="5"/>
      <c r="I39" s="5"/>
      <c r="J39" s="5"/>
      <c r="K39" s="5"/>
    </row>
    <row r="40" spans="2:12" ht="15" thickBot="1">
      <c r="B40" s="1460"/>
      <c r="C40" s="73"/>
      <c r="D40" s="32" t="s">
        <v>40</v>
      </c>
      <c r="E40" s="24" t="s">
        <v>2037</v>
      </c>
      <c r="F40" s="5"/>
      <c r="G40" s="5"/>
      <c r="H40" s="5"/>
      <c r="I40" s="5"/>
      <c r="J40" s="5"/>
      <c r="K40" s="5"/>
    </row>
    <row r="41" spans="2:12" ht="15" thickBot="1">
      <c r="B41" s="1460"/>
      <c r="C41" s="73"/>
      <c r="D41" s="32" t="s">
        <v>41</v>
      </c>
      <c r="E41" s="25" t="s">
        <v>2050</v>
      </c>
      <c r="F41" s="5"/>
      <c r="G41" s="5"/>
      <c r="H41" s="5"/>
      <c r="I41" s="5"/>
      <c r="J41" s="5"/>
      <c r="K41" s="5"/>
    </row>
    <row r="42" spans="2:12" ht="29.4" thickBot="1">
      <c r="B42" s="1460"/>
      <c r="C42" s="73"/>
      <c r="D42" s="32" t="s">
        <v>42</v>
      </c>
      <c r="E42" s="507" t="s">
        <v>1825</v>
      </c>
      <c r="F42" s="5"/>
      <c r="G42" s="5"/>
      <c r="H42" s="5"/>
      <c r="I42" s="5"/>
      <c r="J42" s="5"/>
      <c r="K42" s="5"/>
    </row>
    <row r="43" spans="2:12" ht="15" thickBot="1">
      <c r="B43" s="1460"/>
      <c r="C43" s="73"/>
      <c r="D43" s="32" t="s">
        <v>43</v>
      </c>
      <c r="E43" s="24" t="s">
        <v>1826</v>
      </c>
      <c r="F43" s="5"/>
      <c r="G43" s="5"/>
      <c r="H43" s="5"/>
      <c r="I43" s="5"/>
      <c r="J43" s="5"/>
      <c r="K43" s="5"/>
    </row>
    <row r="44" spans="2:12" ht="24.6" thickBot="1">
      <c r="B44" s="1461"/>
      <c r="C44" s="2"/>
      <c r="D44" s="32" t="s">
        <v>44</v>
      </c>
      <c r="E44" s="24" t="s">
        <v>1817</v>
      </c>
      <c r="F44" s="5"/>
      <c r="G44" s="5"/>
      <c r="H44" s="5"/>
      <c r="I44" s="5"/>
      <c r="J44" s="5"/>
      <c r="K44" s="5"/>
    </row>
    <row r="45" spans="2:12" ht="15" thickBot="1">
      <c r="B45" s="1"/>
      <c r="C45" s="64"/>
      <c r="D45" s="5"/>
      <c r="E45" s="5"/>
      <c r="F45" s="5"/>
      <c r="G45" s="5"/>
      <c r="H45" s="5"/>
      <c r="I45" s="5"/>
      <c r="J45" s="5"/>
      <c r="K45" s="5"/>
    </row>
    <row r="46" spans="2:12" ht="15" thickBot="1">
      <c r="B46" s="1469" t="s">
        <v>45</v>
      </c>
      <c r="C46" s="1470"/>
      <c r="D46" s="1470"/>
      <c r="E46" s="1471"/>
      <c r="F46" s="5"/>
      <c r="G46" s="5"/>
      <c r="H46" s="5"/>
      <c r="I46" s="5"/>
      <c r="J46" s="5"/>
      <c r="K46" s="5"/>
    </row>
    <row r="47" spans="2:12" ht="15" thickBot="1">
      <c r="B47" s="1459">
        <v>1</v>
      </c>
      <c r="C47" s="73"/>
      <c r="D47" s="38" t="s">
        <v>38</v>
      </c>
      <c r="E47" s="177" t="s">
        <v>46</v>
      </c>
      <c r="F47" s="5"/>
      <c r="G47" s="5"/>
      <c r="H47" s="5"/>
      <c r="I47" s="5"/>
      <c r="J47" s="5"/>
      <c r="K47" s="5"/>
    </row>
    <row r="48" spans="2:12" ht="15" thickBot="1">
      <c r="B48" s="1460"/>
      <c r="C48" s="73"/>
      <c r="D48" s="32" t="s">
        <v>39</v>
      </c>
      <c r="E48" s="177" t="s">
        <v>47</v>
      </c>
      <c r="F48" s="5"/>
      <c r="G48" s="5"/>
      <c r="H48" s="5"/>
      <c r="I48" s="5"/>
      <c r="J48" s="5"/>
      <c r="K48" s="5"/>
    </row>
    <row r="49" spans="2:11" ht="15" thickBot="1">
      <c r="B49" s="1460"/>
      <c r="C49" s="73"/>
      <c r="D49" s="32" t="s">
        <v>40</v>
      </c>
      <c r="E49" s="194"/>
      <c r="F49" s="5"/>
      <c r="G49" s="5"/>
      <c r="H49" s="5"/>
      <c r="I49" s="5"/>
      <c r="J49" s="5"/>
      <c r="K49" s="5"/>
    </row>
    <row r="50" spans="2:11" ht="15" thickBot="1">
      <c r="B50" s="1460"/>
      <c r="C50" s="73"/>
      <c r="D50" s="32" t="s">
        <v>41</v>
      </c>
      <c r="E50" s="194"/>
      <c r="F50" s="5"/>
      <c r="G50" s="5"/>
      <c r="H50" s="5"/>
      <c r="I50" s="5"/>
      <c r="J50" s="5"/>
      <c r="K50" s="5"/>
    </row>
    <row r="51" spans="2:11" ht="15" thickBot="1">
      <c r="B51" s="1460"/>
      <c r="C51" s="73"/>
      <c r="D51" s="32" t="s">
        <v>42</v>
      </c>
      <c r="E51" s="194"/>
      <c r="F51" s="5"/>
      <c r="G51" s="5"/>
      <c r="H51" s="5"/>
      <c r="I51" s="5"/>
      <c r="J51" s="5"/>
      <c r="K51" s="5"/>
    </row>
    <row r="52" spans="2:11" ht="15" thickBot="1">
      <c r="B52" s="1460"/>
      <c r="C52" s="73"/>
      <c r="D52" s="32" t="s">
        <v>43</v>
      </c>
      <c r="E52" s="194"/>
      <c r="F52" s="5"/>
      <c r="G52" s="5"/>
      <c r="H52" s="5"/>
      <c r="I52" s="5"/>
      <c r="J52" s="5"/>
      <c r="K52" s="5"/>
    </row>
    <row r="53" spans="2:11" ht="15" thickBot="1">
      <c r="B53" s="1461"/>
      <c r="C53" s="2"/>
      <c r="D53" s="32" t="s">
        <v>44</v>
      </c>
      <c r="E53" s="194"/>
      <c r="F53" s="5"/>
      <c r="G53" s="5"/>
      <c r="H53" s="5"/>
      <c r="I53" s="5"/>
      <c r="J53" s="5"/>
      <c r="K53" s="5"/>
    </row>
    <row r="54" spans="2:11" ht="15" thickBot="1">
      <c r="B54" s="1"/>
      <c r="C54" s="64"/>
      <c r="D54" s="5"/>
      <c r="E54" s="5"/>
      <c r="F54" s="5"/>
      <c r="G54" s="5"/>
      <c r="H54" s="5"/>
      <c r="I54" s="5"/>
      <c r="J54" s="5"/>
      <c r="K54" s="5"/>
    </row>
    <row r="55" spans="2:11" ht="15" customHeight="1" thickBot="1">
      <c r="B55" s="100" t="s">
        <v>48</v>
      </c>
      <c r="C55" s="101"/>
      <c r="D55" s="101"/>
      <c r="E55" s="102"/>
      <c r="F55" s="5"/>
      <c r="G55" s="5"/>
      <c r="H55" s="5"/>
      <c r="I55" s="5"/>
      <c r="J55" s="5"/>
      <c r="K55" s="5"/>
    </row>
    <row r="56" spans="2:11" ht="24.6" thickBot="1">
      <c r="B56" s="37" t="s">
        <v>49</v>
      </c>
      <c r="C56" s="32" t="s">
        <v>50</v>
      </c>
      <c r="D56" s="32" t="s">
        <v>51</v>
      </c>
      <c r="E56" s="32" t="s">
        <v>52</v>
      </c>
      <c r="F56" s="5"/>
      <c r="G56" s="5"/>
      <c r="H56" s="5"/>
      <c r="I56" s="5"/>
      <c r="J56" s="5"/>
    </row>
    <row r="57" spans="2:11" ht="48.6" thickBot="1">
      <c r="B57" s="39">
        <v>42401</v>
      </c>
      <c r="C57" s="32">
        <v>0.01</v>
      </c>
      <c r="D57" s="40" t="s">
        <v>477</v>
      </c>
      <c r="E57" s="32"/>
      <c r="F57" s="5"/>
      <c r="G57" s="5"/>
      <c r="H57" s="5"/>
      <c r="I57" s="5"/>
      <c r="J57" s="5"/>
    </row>
    <row r="58" spans="2:11" ht="15" thickBot="1">
      <c r="B58" s="1"/>
      <c r="C58" s="64"/>
      <c r="D58" s="5"/>
      <c r="E58" s="5"/>
      <c r="F58" s="5"/>
      <c r="G58" s="5"/>
      <c r="H58" s="5"/>
      <c r="I58" s="5"/>
      <c r="J58" s="5"/>
      <c r="K58" s="5"/>
    </row>
    <row r="59" spans="2:11">
      <c r="B59" s="106" t="s">
        <v>54</v>
      </c>
      <c r="C59" s="75"/>
      <c r="D59" s="5"/>
      <c r="E59" s="5"/>
      <c r="F59" s="5"/>
      <c r="G59" s="5"/>
      <c r="H59" s="5"/>
      <c r="I59" s="5"/>
      <c r="J59" s="5"/>
      <c r="K59" s="5"/>
    </row>
    <row r="60" spans="2:11" ht="14.4" customHeight="1">
      <c r="B60" s="1614" t="s">
        <v>478</v>
      </c>
      <c r="C60" s="1615"/>
      <c r="D60" s="1615"/>
      <c r="E60" s="1615"/>
      <c r="F60" s="1615"/>
      <c r="G60" s="1616"/>
      <c r="H60" s="5"/>
      <c r="I60" s="5"/>
      <c r="J60" s="5"/>
      <c r="K60" s="5"/>
    </row>
    <row r="61" spans="2:11">
      <c r="B61" s="1617"/>
      <c r="C61" s="1618"/>
      <c r="D61" s="1618"/>
      <c r="E61" s="1618"/>
      <c r="F61" s="1618"/>
      <c r="G61" s="1619"/>
      <c r="H61" s="5"/>
      <c r="I61" s="5"/>
      <c r="J61" s="5"/>
      <c r="K61" s="5"/>
    </row>
    <row r="62" spans="2:11">
      <c r="B62" s="134"/>
      <c r="C62" s="135"/>
      <c r="D62" s="135"/>
      <c r="E62" s="135"/>
      <c r="F62" s="135"/>
      <c r="G62" s="136"/>
      <c r="H62" s="5"/>
      <c r="I62" s="5"/>
      <c r="J62" s="5"/>
      <c r="K62" s="5"/>
    </row>
    <row r="63" spans="2:11" ht="15" thickBot="1">
      <c r="B63" s="5"/>
      <c r="D63" s="5"/>
      <c r="E63" s="5"/>
      <c r="F63" s="5"/>
      <c r="G63" s="5"/>
      <c r="H63" s="5"/>
      <c r="I63" s="5"/>
      <c r="J63" s="5"/>
      <c r="K63" s="5"/>
    </row>
    <row r="64" spans="2:11" ht="15" thickBot="1">
      <c r="B64" s="1469" t="s">
        <v>449</v>
      </c>
      <c r="C64" s="1470"/>
      <c r="D64" s="1471"/>
      <c r="E64" s="5"/>
      <c r="F64" s="5"/>
      <c r="G64" s="5"/>
      <c r="H64" s="5"/>
      <c r="I64" s="5"/>
      <c r="J64" s="5"/>
      <c r="K64" s="5"/>
    </row>
    <row r="65" spans="2:11" ht="72.599999999999994" thickBot="1">
      <c r="B65" s="37" t="s">
        <v>56</v>
      </c>
      <c r="C65" s="2"/>
      <c r="D65" s="32" t="s">
        <v>450</v>
      </c>
      <c r="E65" s="5"/>
      <c r="F65" s="5"/>
      <c r="G65" s="5"/>
      <c r="H65" s="5"/>
      <c r="I65" s="5"/>
      <c r="J65" s="5"/>
      <c r="K65" s="5"/>
    </row>
    <row r="66" spans="2:11">
      <c r="B66" s="1459" t="s">
        <v>58</v>
      </c>
      <c r="C66" s="73"/>
      <c r="D66" s="43" t="s">
        <v>59</v>
      </c>
      <c r="E66" s="5"/>
      <c r="F66" s="5"/>
      <c r="G66" s="5"/>
      <c r="H66" s="5"/>
      <c r="I66" s="5"/>
      <c r="J66" s="5"/>
      <c r="K66" s="5"/>
    </row>
    <row r="67" spans="2:11" ht="84">
      <c r="B67" s="1460"/>
      <c r="C67" s="73"/>
      <c r="D67" s="36" t="s">
        <v>451</v>
      </c>
      <c r="E67" s="5"/>
      <c r="F67" s="5"/>
      <c r="G67" s="5"/>
      <c r="H67" s="5"/>
      <c r="I67" s="5"/>
      <c r="J67" s="5"/>
      <c r="K67" s="5"/>
    </row>
    <row r="68" spans="2:11">
      <c r="B68" s="1460"/>
      <c r="C68" s="73"/>
      <c r="D68" s="43" t="s">
        <v>62</v>
      </c>
      <c r="E68" s="5"/>
      <c r="F68" s="5"/>
      <c r="G68" s="5"/>
      <c r="H68" s="5"/>
      <c r="I68" s="5"/>
      <c r="J68" s="5"/>
      <c r="K68" s="5"/>
    </row>
    <row r="69" spans="2:11">
      <c r="B69" s="1460"/>
      <c r="C69" s="73"/>
      <c r="D69" s="36" t="s">
        <v>64</v>
      </c>
      <c r="E69" s="5"/>
      <c r="F69" s="5"/>
      <c r="G69" s="5"/>
      <c r="H69" s="5"/>
      <c r="I69" s="5"/>
      <c r="J69" s="5"/>
      <c r="K69" s="5"/>
    </row>
    <row r="70" spans="2:11">
      <c r="B70" s="1460"/>
      <c r="C70" s="73"/>
      <c r="D70" s="43" t="s">
        <v>287</v>
      </c>
      <c r="E70" s="5"/>
      <c r="F70" s="5"/>
      <c r="G70" s="5"/>
      <c r="H70" s="5"/>
      <c r="I70" s="5"/>
      <c r="J70" s="5"/>
      <c r="K70" s="5"/>
    </row>
    <row r="71" spans="2:11" ht="24.6" thickBot="1">
      <c r="B71" s="1461"/>
      <c r="C71" s="2"/>
      <c r="D71" s="32" t="s">
        <v>452</v>
      </c>
      <c r="E71" s="5"/>
      <c r="F71" s="5"/>
      <c r="G71" s="5"/>
      <c r="H71" s="5"/>
      <c r="I71" s="5"/>
      <c r="J71" s="5"/>
      <c r="K71" s="5"/>
    </row>
    <row r="72" spans="2:11">
      <c r="B72" s="1459" t="s">
        <v>71</v>
      </c>
      <c r="C72" s="78"/>
      <c r="D72" s="1459"/>
      <c r="E72" s="5"/>
      <c r="F72" s="5"/>
      <c r="G72" s="5"/>
      <c r="H72" s="5"/>
      <c r="I72" s="5"/>
      <c r="J72" s="5"/>
      <c r="K72" s="5"/>
    </row>
    <row r="73" spans="2:11" ht="15" thickBot="1">
      <c r="B73" s="1461"/>
      <c r="C73" s="79"/>
      <c r="D73" s="1461"/>
      <c r="E73" s="5"/>
      <c r="F73" s="5"/>
      <c r="G73" s="5"/>
      <c r="H73" s="5"/>
      <c r="I73" s="5"/>
      <c r="J73" s="5"/>
      <c r="K73" s="5"/>
    </row>
    <row r="74" spans="2:11" ht="72">
      <c r="B74" s="1459" t="s">
        <v>72</v>
      </c>
      <c r="C74" s="73"/>
      <c r="D74" s="36" t="s">
        <v>355</v>
      </c>
      <c r="E74" s="5"/>
      <c r="F74" s="5"/>
      <c r="G74" s="5"/>
      <c r="H74" s="5"/>
      <c r="I74" s="5"/>
      <c r="J74" s="5"/>
      <c r="K74" s="5"/>
    </row>
    <row r="75" spans="2:11" ht="96">
      <c r="B75" s="1460"/>
      <c r="C75" s="73"/>
      <c r="D75" s="36" t="s">
        <v>356</v>
      </c>
      <c r="E75" s="5"/>
      <c r="F75" s="5"/>
      <c r="G75" s="5"/>
      <c r="H75" s="5"/>
      <c r="I75" s="5"/>
      <c r="J75" s="5"/>
      <c r="K75" s="5"/>
    </row>
    <row r="76" spans="2:11" ht="48">
      <c r="B76" s="1460"/>
      <c r="C76" s="73"/>
      <c r="D76" s="36" t="s">
        <v>358</v>
      </c>
      <c r="E76" s="5"/>
      <c r="F76" s="5"/>
      <c r="G76" s="5"/>
      <c r="H76" s="5"/>
      <c r="I76" s="5"/>
      <c r="J76" s="5"/>
      <c r="K76" s="5"/>
    </row>
    <row r="77" spans="2:11" ht="24">
      <c r="B77" s="1460"/>
      <c r="C77" s="73"/>
      <c r="D77" s="36" t="s">
        <v>453</v>
      </c>
      <c r="E77" s="5"/>
      <c r="F77" s="5"/>
      <c r="G77" s="5"/>
      <c r="H77" s="5"/>
      <c r="I77" s="5"/>
      <c r="J77" s="5"/>
      <c r="K77" s="5"/>
    </row>
    <row r="78" spans="2:11" ht="120.6" thickBot="1">
      <c r="B78" s="1461"/>
      <c r="C78" s="2"/>
      <c r="D78" s="32" t="s">
        <v>454</v>
      </c>
      <c r="E78" s="5"/>
      <c r="F78" s="5"/>
      <c r="G78" s="5"/>
      <c r="H78" s="5"/>
      <c r="I78" s="5"/>
      <c r="J78" s="5"/>
      <c r="K78" s="5"/>
    </row>
    <row r="79" spans="2:11" ht="24">
      <c r="B79" s="1459" t="s">
        <v>89</v>
      </c>
      <c r="C79" s="73"/>
      <c r="D79" s="43" t="s">
        <v>455</v>
      </c>
      <c r="E79" s="5"/>
      <c r="F79" s="5"/>
      <c r="G79" s="5"/>
      <c r="H79" s="5"/>
      <c r="I79" s="5"/>
      <c r="J79" s="5"/>
      <c r="K79" s="5"/>
    </row>
    <row r="80" spans="2:11">
      <c r="B80" s="1460"/>
      <c r="C80" s="73"/>
      <c r="D80" s="13"/>
      <c r="E80" s="5"/>
      <c r="F80" s="5"/>
      <c r="G80" s="5"/>
      <c r="H80" s="5"/>
      <c r="I80" s="5"/>
      <c r="J80" s="5"/>
      <c r="K80" s="5"/>
    </row>
    <row r="81" spans="2:11">
      <c r="B81" s="1460"/>
      <c r="C81" s="73"/>
      <c r="D81" s="36" t="s">
        <v>90</v>
      </c>
      <c r="E81" s="5"/>
      <c r="F81" s="5"/>
      <c r="G81" s="5"/>
      <c r="H81" s="5"/>
      <c r="I81" s="5"/>
      <c r="J81" s="5"/>
      <c r="K81" s="5"/>
    </row>
    <row r="82" spans="2:11" ht="26.4">
      <c r="B82" s="1460"/>
      <c r="C82" s="73"/>
      <c r="D82" s="36" t="s">
        <v>456</v>
      </c>
      <c r="E82" s="5"/>
      <c r="F82" s="5"/>
      <c r="G82" s="5"/>
      <c r="H82" s="5"/>
      <c r="I82" s="5"/>
      <c r="J82" s="5"/>
      <c r="K82" s="5"/>
    </row>
    <row r="83" spans="2:11" ht="26.4">
      <c r="B83" s="1460"/>
      <c r="C83" s="73"/>
      <c r="D83" s="36" t="s">
        <v>457</v>
      </c>
      <c r="E83" s="5"/>
      <c r="F83" s="5"/>
      <c r="G83" s="5"/>
      <c r="H83" s="5"/>
      <c r="I83" s="5"/>
      <c r="J83" s="5"/>
      <c r="K83" s="5"/>
    </row>
    <row r="84" spans="2:11" ht="38.4">
      <c r="B84" s="1460"/>
      <c r="C84" s="73"/>
      <c r="D84" s="36" t="s">
        <v>458</v>
      </c>
      <c r="E84" s="5"/>
      <c r="F84" s="5"/>
      <c r="G84" s="5"/>
      <c r="H84" s="5"/>
      <c r="I84" s="5"/>
      <c r="J84" s="5"/>
      <c r="K84" s="5"/>
    </row>
    <row r="85" spans="2:11">
      <c r="B85" s="1460"/>
      <c r="C85" s="73"/>
      <c r="D85" s="43" t="s">
        <v>245</v>
      </c>
      <c r="E85" s="5"/>
      <c r="F85" s="5"/>
      <c r="G85" s="5"/>
      <c r="H85" s="5"/>
      <c r="I85" s="5"/>
      <c r="J85" s="5"/>
      <c r="K85" s="5"/>
    </row>
    <row r="86" spans="2:11" ht="24">
      <c r="B86" s="1460"/>
      <c r="C86" s="73"/>
      <c r="D86" s="43" t="s">
        <v>459</v>
      </c>
      <c r="E86" s="5"/>
      <c r="F86" s="5"/>
      <c r="G86" s="5"/>
      <c r="H86" s="5"/>
      <c r="I86" s="5"/>
      <c r="J86" s="5"/>
      <c r="K86" s="5"/>
    </row>
    <row r="87" spans="2:11">
      <c r="B87" s="1460"/>
      <c r="C87" s="73"/>
      <c r="D87" s="13"/>
      <c r="E87" s="5"/>
      <c r="F87" s="5"/>
      <c r="G87" s="5"/>
      <c r="H87" s="5"/>
      <c r="I87" s="5"/>
      <c r="J87" s="5"/>
      <c r="K87" s="5"/>
    </row>
    <row r="88" spans="2:11">
      <c r="B88" s="1460"/>
      <c r="C88" s="73"/>
      <c r="D88" s="36" t="s">
        <v>90</v>
      </c>
      <c r="E88" s="5"/>
      <c r="F88" s="5"/>
      <c r="G88" s="5"/>
      <c r="H88" s="5"/>
      <c r="I88" s="5"/>
      <c r="J88" s="5"/>
      <c r="K88" s="5"/>
    </row>
    <row r="89" spans="2:11" ht="38.4">
      <c r="B89" s="1460"/>
      <c r="C89" s="73"/>
      <c r="D89" s="36" t="s">
        <v>460</v>
      </c>
      <c r="E89" s="5"/>
      <c r="F89" s="5"/>
      <c r="G89" s="5"/>
      <c r="H89" s="5"/>
      <c r="I89" s="5"/>
      <c r="J89" s="5"/>
      <c r="K89" s="5"/>
    </row>
    <row r="90" spans="2:11" ht="27" thickBot="1">
      <c r="B90" s="1461"/>
      <c r="C90" s="2"/>
      <c r="D90" s="32" t="s">
        <v>461</v>
      </c>
      <c r="E90" s="5"/>
      <c r="F90" s="5"/>
      <c r="G90" s="5"/>
      <c r="H90" s="5"/>
      <c r="I90" s="5"/>
      <c r="J90" s="5"/>
      <c r="K90" s="5"/>
    </row>
    <row r="91" spans="2:11">
      <c r="B91" s="5"/>
      <c r="D91" s="5"/>
      <c r="E91" s="5"/>
      <c r="F91" s="5"/>
      <c r="G91" s="5"/>
      <c r="H91" s="5"/>
      <c r="I91" s="5"/>
      <c r="J91" s="5"/>
      <c r="K91" s="5"/>
    </row>
    <row r="92" spans="2:11">
      <c r="B92" s="5"/>
      <c r="D92" s="5"/>
      <c r="E92" s="5"/>
      <c r="F92" s="5"/>
      <c r="G92" s="5"/>
      <c r="H92" s="5"/>
      <c r="I92" s="5"/>
      <c r="J92" s="5"/>
      <c r="K92" s="5"/>
    </row>
    <row r="93" spans="2:11">
      <c r="B93" s="5"/>
      <c r="D93" s="5"/>
      <c r="E93" s="5"/>
      <c r="F93" s="5"/>
      <c r="G93" s="5"/>
      <c r="H93" s="5"/>
      <c r="I93" s="5"/>
      <c r="J93" s="5"/>
      <c r="K93" s="5"/>
    </row>
    <row r="94" spans="2:11">
      <c r="B94" s="5"/>
      <c r="D94" s="5"/>
      <c r="E94" s="5"/>
      <c r="F94" s="5"/>
      <c r="G94" s="5"/>
      <c r="H94" s="5"/>
      <c r="I94" s="5"/>
      <c r="J94" s="5"/>
      <c r="K94" s="5"/>
    </row>
    <row r="95" spans="2:11">
      <c r="B95" s="5"/>
      <c r="D95" s="5"/>
      <c r="E95" s="5"/>
      <c r="F95" s="5"/>
      <c r="G95" s="5"/>
      <c r="H95" s="5"/>
      <c r="I95" s="5"/>
      <c r="J95" s="5"/>
      <c r="K95" s="5"/>
    </row>
    <row r="96" spans="2:11">
      <c r="B96" s="5"/>
      <c r="D96" s="5"/>
      <c r="E96" s="5"/>
      <c r="F96" s="5"/>
      <c r="G96" s="5"/>
      <c r="H96" s="5"/>
      <c r="I96" s="5"/>
      <c r="J96" s="5"/>
      <c r="K96" s="5"/>
    </row>
    <row r="97" spans="2:11">
      <c r="B97" s="5"/>
      <c r="D97" s="5"/>
      <c r="E97" s="5"/>
      <c r="F97" s="5"/>
      <c r="G97" s="5"/>
      <c r="H97" s="5"/>
      <c r="I97" s="5"/>
      <c r="J97" s="5"/>
      <c r="K97" s="5"/>
    </row>
    <row r="98" spans="2:11">
      <c r="B98" s="5"/>
      <c r="D98" s="5"/>
      <c r="E98" s="5"/>
      <c r="F98" s="5"/>
      <c r="G98" s="5"/>
      <c r="H98" s="5"/>
      <c r="I98" s="5"/>
      <c r="J98" s="5"/>
      <c r="K98" s="5"/>
    </row>
    <row r="99" spans="2:11">
      <c r="B99" s="5"/>
      <c r="D99" s="5"/>
      <c r="E99" s="5"/>
      <c r="F99" s="5"/>
      <c r="G99" s="5"/>
      <c r="H99" s="5"/>
      <c r="I99" s="5"/>
      <c r="J99" s="5"/>
      <c r="K99" s="5"/>
    </row>
    <row r="100" spans="2:11">
      <c r="B100" s="5"/>
      <c r="D100" s="5"/>
      <c r="E100" s="5"/>
      <c r="F100" s="5"/>
      <c r="G100" s="5"/>
      <c r="H100" s="5"/>
      <c r="I100" s="5"/>
      <c r="J100" s="5"/>
      <c r="K100" s="5"/>
    </row>
    <row r="101" spans="2:11">
      <c r="B101" s="5"/>
      <c r="D101" s="5"/>
      <c r="E101" s="5"/>
      <c r="F101" s="5"/>
      <c r="G101" s="5"/>
      <c r="H101" s="5"/>
      <c r="I101" s="5"/>
      <c r="J101" s="5"/>
      <c r="K101" s="5"/>
    </row>
    <row r="102" spans="2:11">
      <c r="B102" s="5"/>
      <c r="D102" s="5"/>
      <c r="E102" s="5"/>
      <c r="F102" s="5"/>
      <c r="G102" s="5"/>
      <c r="H102" s="5"/>
      <c r="I102" s="5"/>
      <c r="J102" s="5"/>
      <c r="K102" s="5"/>
    </row>
    <row r="103" spans="2:11">
      <c r="B103" s="5"/>
      <c r="D103" s="5"/>
      <c r="E103" s="5"/>
      <c r="F103" s="5"/>
      <c r="G103" s="5"/>
      <c r="H103" s="5"/>
      <c r="I103" s="5"/>
      <c r="J103" s="5"/>
      <c r="K103" s="5"/>
    </row>
    <row r="104" spans="2:11">
      <c r="B104" s="5"/>
      <c r="D104" s="5"/>
      <c r="E104" s="5"/>
      <c r="F104" s="5"/>
      <c r="G104" s="5"/>
      <c r="H104" s="5"/>
      <c r="I104" s="5"/>
      <c r="J104" s="5"/>
      <c r="K104" s="5"/>
    </row>
    <row r="105" spans="2:11">
      <c r="B105" s="5"/>
      <c r="D105" s="5"/>
      <c r="E105" s="5"/>
      <c r="F105" s="5"/>
      <c r="G105" s="5"/>
      <c r="H105" s="5"/>
      <c r="I105" s="5"/>
      <c r="J105" s="5"/>
      <c r="K105" s="5"/>
    </row>
    <row r="106" spans="2:11">
      <c r="B106" s="5"/>
      <c r="D106" s="5"/>
      <c r="E106" s="5"/>
      <c r="F106" s="5"/>
      <c r="G106" s="5"/>
      <c r="H106" s="5"/>
      <c r="I106" s="5"/>
      <c r="J106" s="5"/>
      <c r="K106" s="5"/>
    </row>
    <row r="107" spans="2:11">
      <c r="B107" s="5"/>
      <c r="D107" s="5"/>
      <c r="E107" s="5"/>
      <c r="F107" s="5"/>
      <c r="G107" s="5"/>
      <c r="H107" s="5"/>
      <c r="I107" s="5"/>
      <c r="J107" s="5"/>
      <c r="K107" s="5"/>
    </row>
    <row r="108" spans="2:11">
      <c r="B108" s="5"/>
      <c r="D108" s="5"/>
      <c r="E108" s="5"/>
      <c r="F108" s="5"/>
      <c r="G108" s="5"/>
      <c r="H108" s="5"/>
      <c r="I108" s="5"/>
      <c r="J108" s="5"/>
      <c r="K108" s="5"/>
    </row>
    <row r="109" spans="2:11">
      <c r="B109" s="5"/>
      <c r="D109" s="5"/>
      <c r="E109" s="5"/>
      <c r="F109" s="5"/>
      <c r="G109" s="5"/>
      <c r="H109" s="5"/>
      <c r="I109" s="5"/>
      <c r="J109" s="5"/>
      <c r="K109" s="5"/>
    </row>
    <row r="110" spans="2:11">
      <c r="B110" s="5"/>
      <c r="D110" s="5"/>
      <c r="E110" s="5"/>
      <c r="F110" s="5"/>
      <c r="G110" s="5"/>
      <c r="H110" s="5"/>
      <c r="I110" s="5"/>
      <c r="J110" s="5"/>
      <c r="K110" s="5"/>
    </row>
    <row r="111" spans="2:11">
      <c r="B111" s="5"/>
      <c r="D111" s="5"/>
      <c r="E111" s="5"/>
      <c r="F111" s="5"/>
      <c r="G111" s="5"/>
      <c r="H111" s="5"/>
      <c r="I111" s="5"/>
      <c r="J111" s="5"/>
      <c r="K111" s="5"/>
    </row>
    <row r="112" spans="2:11">
      <c r="B112" s="5"/>
      <c r="D112" s="5"/>
      <c r="E112" s="5"/>
      <c r="F112" s="5"/>
      <c r="G112" s="5"/>
      <c r="H112" s="5"/>
      <c r="I112" s="5"/>
      <c r="J112" s="5"/>
      <c r="K112" s="5"/>
    </row>
    <row r="113" spans="2:11">
      <c r="B113" s="5"/>
      <c r="D113" s="5"/>
      <c r="E113" s="5"/>
      <c r="F113" s="5"/>
      <c r="G113" s="5"/>
      <c r="H113" s="5"/>
      <c r="I113" s="5"/>
      <c r="J113" s="5"/>
      <c r="K113" s="5"/>
    </row>
    <row r="114" spans="2:11">
      <c r="B114" s="5"/>
      <c r="D114" s="5"/>
      <c r="E114" s="5"/>
      <c r="F114" s="5"/>
      <c r="G114" s="5"/>
      <c r="H114" s="5"/>
      <c r="I114" s="5"/>
      <c r="J114" s="5"/>
      <c r="K114" s="5"/>
    </row>
    <row r="115" spans="2:11">
      <c r="B115" s="5"/>
      <c r="D115" s="5"/>
      <c r="E115" s="5"/>
      <c r="F115" s="5"/>
      <c r="G115" s="5"/>
      <c r="H115" s="5"/>
      <c r="I115" s="5"/>
      <c r="J115" s="5"/>
      <c r="K115" s="5"/>
    </row>
    <row r="116" spans="2:11">
      <c r="B116" s="5"/>
      <c r="D116" s="5"/>
      <c r="E116" s="5"/>
      <c r="F116" s="5"/>
      <c r="G116" s="5"/>
      <c r="H116" s="5"/>
      <c r="I116" s="5"/>
      <c r="J116" s="5"/>
      <c r="K116" s="5"/>
    </row>
    <row r="117" spans="2:11">
      <c r="B117" s="5"/>
      <c r="D117" s="5"/>
      <c r="E117" s="5"/>
      <c r="F117" s="5"/>
      <c r="G117" s="5"/>
      <c r="H117" s="5"/>
      <c r="I117" s="5"/>
      <c r="J117" s="5"/>
      <c r="K117" s="5"/>
    </row>
    <row r="118" spans="2:11">
      <c r="B118" s="5"/>
      <c r="D118" s="5"/>
      <c r="E118" s="5"/>
      <c r="F118" s="5"/>
      <c r="G118" s="5"/>
      <c r="H118" s="5"/>
      <c r="I118" s="5"/>
      <c r="J118" s="5"/>
      <c r="K118" s="5"/>
    </row>
    <row r="119" spans="2:11">
      <c r="B119" s="5"/>
      <c r="D119" s="5"/>
      <c r="E119" s="5"/>
      <c r="F119" s="5"/>
      <c r="G119" s="5"/>
      <c r="H119" s="5"/>
      <c r="I119" s="5"/>
      <c r="J119" s="5"/>
      <c r="K119" s="5"/>
    </row>
    <row r="120" spans="2:11">
      <c r="B120" s="5"/>
      <c r="D120" s="5"/>
      <c r="E120" s="5"/>
      <c r="F120" s="5"/>
      <c r="G120" s="5"/>
      <c r="H120" s="5"/>
      <c r="I120" s="5"/>
      <c r="J120" s="5"/>
      <c r="K120" s="5"/>
    </row>
    <row r="121" spans="2:11">
      <c r="B121" s="5"/>
      <c r="D121" s="5"/>
      <c r="E121" s="5"/>
      <c r="F121" s="5"/>
      <c r="G121" s="5"/>
      <c r="H121" s="5"/>
      <c r="I121" s="5"/>
      <c r="J121" s="5"/>
      <c r="K121" s="5"/>
    </row>
    <row r="122" spans="2:11">
      <c r="B122" s="5"/>
      <c r="D122" s="5"/>
      <c r="E122" s="5"/>
      <c r="F122" s="5"/>
      <c r="G122" s="5"/>
      <c r="H122" s="5"/>
      <c r="I122" s="5"/>
      <c r="J122" s="5"/>
      <c r="K122" s="5"/>
    </row>
    <row r="123" spans="2:11">
      <c r="B123" s="5"/>
      <c r="D123" s="5"/>
      <c r="E123" s="5"/>
      <c r="F123" s="5"/>
      <c r="G123" s="5"/>
      <c r="H123" s="5"/>
      <c r="I123" s="5"/>
      <c r="J123" s="5"/>
      <c r="K123" s="5"/>
    </row>
    <row r="124" spans="2:11">
      <c r="B124" s="5"/>
      <c r="D124" s="5"/>
      <c r="E124" s="5"/>
      <c r="F124" s="5"/>
      <c r="G124" s="5"/>
      <c r="H124" s="5"/>
      <c r="I124" s="5"/>
      <c r="J124" s="5"/>
      <c r="K124" s="5"/>
    </row>
    <row r="125" spans="2:11">
      <c r="B125" s="5"/>
      <c r="D125" s="5"/>
      <c r="E125" s="5"/>
      <c r="F125" s="5"/>
      <c r="G125" s="5"/>
      <c r="H125" s="5"/>
      <c r="I125" s="5"/>
      <c r="J125" s="5"/>
      <c r="K125" s="5"/>
    </row>
    <row r="126" spans="2:11">
      <c r="B126" s="5"/>
      <c r="D126" s="5"/>
      <c r="E126" s="5"/>
      <c r="F126" s="5"/>
      <c r="G126" s="5"/>
      <c r="H126" s="5"/>
      <c r="I126" s="5"/>
      <c r="J126" s="5"/>
      <c r="K126" s="5"/>
    </row>
    <row r="127" spans="2:11">
      <c r="B127" s="5"/>
      <c r="D127" s="5"/>
      <c r="E127" s="5"/>
      <c r="F127" s="5"/>
      <c r="G127" s="5"/>
      <c r="H127" s="5"/>
      <c r="I127" s="5"/>
      <c r="J127" s="5"/>
      <c r="K127" s="5"/>
    </row>
    <row r="128" spans="2:11">
      <c r="B128" s="5"/>
      <c r="D128" s="5"/>
      <c r="E128" s="5"/>
      <c r="F128" s="5"/>
      <c r="G128" s="5"/>
      <c r="H128" s="5"/>
      <c r="I128" s="5"/>
      <c r="J128" s="5"/>
      <c r="K128" s="5"/>
    </row>
    <row r="129" spans="2:11">
      <c r="B129" s="5"/>
      <c r="D129" s="5"/>
      <c r="E129" s="5"/>
      <c r="F129" s="5"/>
      <c r="G129" s="5"/>
      <c r="H129" s="5"/>
      <c r="I129" s="5"/>
      <c r="J129" s="5"/>
      <c r="K129" s="5"/>
    </row>
    <row r="130" spans="2:11">
      <c r="B130" s="5"/>
      <c r="D130" s="5"/>
      <c r="E130" s="5"/>
      <c r="F130" s="5"/>
      <c r="G130" s="5"/>
      <c r="H130" s="5"/>
      <c r="I130" s="5"/>
      <c r="J130" s="5"/>
      <c r="K130" s="5"/>
    </row>
    <row r="131" spans="2:11">
      <c r="B131" s="5"/>
      <c r="D131" s="5"/>
      <c r="E131" s="5"/>
      <c r="F131" s="5"/>
      <c r="G131" s="5"/>
      <c r="H131" s="5"/>
      <c r="I131" s="5"/>
      <c r="J131" s="5"/>
      <c r="K131" s="5"/>
    </row>
    <row r="132" spans="2:11">
      <c r="B132" s="5"/>
      <c r="D132" s="5"/>
      <c r="E132" s="5"/>
      <c r="F132" s="5"/>
      <c r="G132" s="5"/>
      <c r="H132" s="5"/>
      <c r="I132" s="5"/>
      <c r="J132" s="5"/>
      <c r="K132" s="5"/>
    </row>
    <row r="133" spans="2:11">
      <c r="B133" s="5"/>
      <c r="D133" s="5"/>
      <c r="E133" s="5"/>
      <c r="F133" s="5"/>
      <c r="G133" s="5"/>
      <c r="H133" s="5"/>
      <c r="I133" s="5"/>
      <c r="J133" s="5"/>
      <c r="K133" s="5"/>
    </row>
    <row r="134" spans="2:11">
      <c r="B134" s="5"/>
      <c r="D134" s="5"/>
      <c r="E134" s="5"/>
      <c r="F134" s="5"/>
      <c r="G134" s="5"/>
      <c r="H134" s="5"/>
      <c r="I134" s="5"/>
      <c r="J134" s="5"/>
      <c r="K134" s="5"/>
    </row>
    <row r="135" spans="2:11">
      <c r="B135" s="5"/>
      <c r="D135" s="5"/>
      <c r="E135" s="5"/>
      <c r="F135" s="5"/>
      <c r="G135" s="5"/>
      <c r="H135" s="5"/>
      <c r="I135" s="5"/>
      <c r="J135" s="5"/>
      <c r="K135" s="5"/>
    </row>
    <row r="136" spans="2:11">
      <c r="B136" s="5"/>
      <c r="D136" s="5"/>
      <c r="E136" s="5"/>
      <c r="F136" s="5"/>
      <c r="G136" s="5"/>
      <c r="H136" s="5"/>
      <c r="I136" s="5"/>
      <c r="J136" s="5"/>
      <c r="K136" s="5"/>
    </row>
    <row r="137" spans="2:11">
      <c r="B137" s="5"/>
      <c r="D137" s="5"/>
      <c r="E137" s="5"/>
      <c r="F137" s="5"/>
      <c r="G137" s="5"/>
      <c r="H137" s="5"/>
      <c r="I137" s="5"/>
      <c r="J137" s="5"/>
      <c r="K137" s="5"/>
    </row>
    <row r="138" spans="2:11">
      <c r="B138" s="5"/>
      <c r="D138" s="5"/>
      <c r="E138" s="5"/>
      <c r="F138" s="5"/>
      <c r="G138" s="5"/>
      <c r="H138" s="5"/>
      <c r="I138" s="5"/>
      <c r="J138" s="5"/>
      <c r="K138" s="5"/>
    </row>
    <row r="139" spans="2:11">
      <c r="B139" s="5"/>
      <c r="D139" s="5"/>
      <c r="E139" s="5"/>
      <c r="F139" s="5"/>
      <c r="G139" s="5"/>
      <c r="H139" s="5"/>
      <c r="I139" s="5"/>
      <c r="J139" s="5"/>
      <c r="K139" s="5"/>
    </row>
    <row r="140" spans="2:11">
      <c r="B140" s="5"/>
      <c r="D140" s="5"/>
      <c r="E140" s="5"/>
      <c r="F140" s="5"/>
      <c r="G140" s="5"/>
      <c r="H140" s="5"/>
      <c r="I140" s="5"/>
      <c r="J140" s="5"/>
      <c r="K140" s="5"/>
    </row>
    <row r="141" spans="2:11">
      <c r="B141" s="5"/>
      <c r="D141" s="5"/>
      <c r="E141" s="5"/>
      <c r="F141" s="5"/>
      <c r="G141" s="5"/>
      <c r="H141" s="5"/>
      <c r="I141" s="5"/>
      <c r="J141" s="5"/>
      <c r="K141" s="5"/>
    </row>
    <row r="142" spans="2:11">
      <c r="B142" s="5"/>
      <c r="D142" s="5"/>
      <c r="E142" s="5"/>
      <c r="F142" s="5"/>
      <c r="G142" s="5"/>
      <c r="H142" s="5"/>
      <c r="I142" s="5"/>
      <c r="J142" s="5"/>
      <c r="K142" s="5"/>
    </row>
    <row r="143" spans="2:11">
      <c r="B143" s="5"/>
      <c r="D143" s="5"/>
      <c r="E143" s="5"/>
      <c r="F143" s="5"/>
      <c r="G143" s="5"/>
      <c r="H143" s="5"/>
      <c r="I143" s="5"/>
      <c r="J143" s="5"/>
      <c r="K143" s="5"/>
    </row>
    <row r="144" spans="2:11">
      <c r="B144" s="5"/>
      <c r="D144" s="5"/>
      <c r="E144" s="5"/>
      <c r="F144" s="5"/>
      <c r="G144" s="5"/>
      <c r="H144" s="5"/>
      <c r="I144" s="5"/>
      <c r="J144" s="5"/>
      <c r="K144" s="5"/>
    </row>
    <row r="145" spans="2:11">
      <c r="B145" s="5"/>
      <c r="D145" s="5"/>
      <c r="E145" s="5"/>
      <c r="F145" s="5"/>
      <c r="G145" s="5"/>
      <c r="H145" s="5"/>
      <c r="I145" s="5"/>
      <c r="J145" s="5"/>
      <c r="K145" s="5"/>
    </row>
    <row r="146" spans="2:11">
      <c r="B146" s="5"/>
      <c r="D146" s="5"/>
      <c r="E146" s="5"/>
      <c r="F146" s="5"/>
      <c r="G146" s="5"/>
      <c r="H146" s="5"/>
      <c r="I146" s="5"/>
      <c r="J146" s="5"/>
      <c r="K146" s="5"/>
    </row>
    <row r="147" spans="2:11">
      <c r="B147" s="5"/>
      <c r="D147" s="5"/>
      <c r="E147" s="5"/>
      <c r="F147" s="5"/>
      <c r="G147" s="5"/>
      <c r="H147" s="5"/>
      <c r="I147" s="5"/>
      <c r="J147" s="5"/>
      <c r="K147" s="5"/>
    </row>
    <row r="148" spans="2:11">
      <c r="B148" s="5"/>
      <c r="D148" s="5"/>
      <c r="E148" s="5"/>
      <c r="F148" s="5"/>
      <c r="G148" s="5"/>
      <c r="H148" s="5"/>
      <c r="I148" s="5"/>
      <c r="J148" s="5"/>
      <c r="K148" s="5"/>
    </row>
    <row r="149" spans="2:11">
      <c r="B149" s="5"/>
      <c r="D149" s="5"/>
      <c r="E149" s="5"/>
      <c r="F149" s="5"/>
      <c r="G149" s="5"/>
      <c r="H149" s="5"/>
      <c r="I149" s="5"/>
      <c r="J149" s="5"/>
      <c r="K149" s="5"/>
    </row>
    <row r="150" spans="2:11">
      <c r="B150" s="5"/>
      <c r="D150" s="5"/>
      <c r="E150" s="5"/>
      <c r="F150" s="5"/>
      <c r="G150" s="5"/>
      <c r="H150" s="5"/>
      <c r="I150" s="5"/>
      <c r="J150" s="5"/>
      <c r="K150" s="5"/>
    </row>
    <row r="151" spans="2:11">
      <c r="B151" s="5"/>
      <c r="D151" s="5"/>
      <c r="E151" s="5"/>
      <c r="F151" s="5"/>
      <c r="G151" s="5"/>
      <c r="H151" s="5"/>
      <c r="I151" s="5"/>
      <c r="J151" s="5"/>
      <c r="K151" s="5"/>
    </row>
    <row r="152" spans="2:11">
      <c r="B152" s="5"/>
      <c r="D152" s="5"/>
      <c r="E152" s="5"/>
      <c r="F152" s="5"/>
      <c r="G152" s="5"/>
      <c r="H152" s="5"/>
      <c r="I152" s="5"/>
      <c r="J152" s="5"/>
      <c r="K152" s="5"/>
    </row>
    <row r="153" spans="2:11">
      <c r="B153" s="5"/>
      <c r="D153" s="5"/>
      <c r="E153" s="5"/>
      <c r="F153" s="5"/>
      <c r="G153" s="5"/>
      <c r="H153" s="5"/>
      <c r="I153" s="5"/>
      <c r="J153" s="5"/>
      <c r="K153" s="5"/>
    </row>
    <row r="154" spans="2:11">
      <c r="B154" s="5"/>
      <c r="D154" s="5"/>
      <c r="E154" s="5"/>
      <c r="F154" s="5"/>
      <c r="G154" s="5"/>
      <c r="H154" s="5"/>
      <c r="I154" s="5"/>
      <c r="J154" s="5"/>
      <c r="K154" s="5"/>
    </row>
    <row r="155" spans="2:11">
      <c r="B155" s="5"/>
      <c r="D155" s="5"/>
      <c r="E155" s="5"/>
      <c r="F155" s="5"/>
      <c r="G155" s="5"/>
      <c r="H155" s="5"/>
      <c r="I155" s="5"/>
      <c r="J155" s="5"/>
      <c r="K155" s="5"/>
    </row>
    <row r="156" spans="2:11">
      <c r="B156" s="5"/>
      <c r="D156" s="5"/>
      <c r="E156" s="5"/>
      <c r="F156" s="5"/>
      <c r="G156" s="5"/>
      <c r="H156" s="5"/>
      <c r="I156" s="5"/>
      <c r="J156" s="5"/>
      <c r="K156" s="5"/>
    </row>
    <row r="157" spans="2:11">
      <c r="B157" s="5"/>
      <c r="D157" s="5"/>
      <c r="E157" s="5"/>
      <c r="F157" s="5"/>
      <c r="G157" s="5"/>
      <c r="H157" s="5"/>
      <c r="I157" s="5"/>
      <c r="J157" s="5"/>
      <c r="K157" s="5"/>
    </row>
    <row r="158" spans="2:11">
      <c r="B158" s="5"/>
      <c r="D158" s="5"/>
      <c r="E158" s="5"/>
      <c r="F158" s="5"/>
      <c r="G158" s="5"/>
      <c r="H158" s="5"/>
      <c r="I158" s="5"/>
      <c r="J158" s="5"/>
      <c r="K158" s="5"/>
    </row>
    <row r="159" spans="2:11">
      <c r="B159" s="5"/>
      <c r="D159" s="5"/>
      <c r="E159" s="5"/>
      <c r="F159" s="5"/>
      <c r="G159" s="5"/>
      <c r="H159" s="5"/>
      <c r="I159" s="5"/>
      <c r="J159" s="5"/>
      <c r="K159" s="5"/>
    </row>
    <row r="160" spans="2:11">
      <c r="B160" s="5"/>
      <c r="D160" s="5"/>
      <c r="E160" s="5"/>
      <c r="F160" s="5"/>
      <c r="G160" s="5"/>
      <c r="H160" s="5"/>
      <c r="I160" s="5"/>
      <c r="J160" s="5"/>
      <c r="K160" s="5"/>
    </row>
    <row r="161" spans="2:11">
      <c r="B161" s="5"/>
      <c r="D161" s="5"/>
      <c r="E161" s="5"/>
      <c r="F161" s="5"/>
      <c r="G161" s="5"/>
      <c r="H161" s="5"/>
      <c r="I161" s="5"/>
      <c r="J161" s="5"/>
      <c r="K161" s="5"/>
    </row>
    <row r="162" spans="2:11">
      <c r="B162" s="5"/>
      <c r="D162" s="5"/>
      <c r="E162" s="5"/>
      <c r="F162" s="5"/>
      <c r="G162" s="5"/>
      <c r="H162" s="5"/>
      <c r="I162" s="5"/>
      <c r="J162" s="5"/>
      <c r="K162" s="5"/>
    </row>
    <row r="163" spans="2:11">
      <c r="B163" s="5"/>
      <c r="D163" s="5"/>
      <c r="E163" s="5"/>
      <c r="F163" s="5"/>
      <c r="G163" s="5"/>
      <c r="H163" s="5"/>
      <c r="I163" s="5"/>
      <c r="J163" s="5"/>
      <c r="K163" s="5"/>
    </row>
    <row r="164" spans="2:11">
      <c r="B164" s="5"/>
      <c r="D164" s="5"/>
      <c r="E164" s="5"/>
      <c r="F164" s="5"/>
      <c r="G164" s="5"/>
      <c r="H164" s="5"/>
      <c r="I164" s="5"/>
      <c r="J164" s="5"/>
      <c r="K164" s="5"/>
    </row>
    <row r="165" spans="2:11">
      <c r="B165" s="5"/>
      <c r="D165" s="5"/>
      <c r="E165" s="5"/>
      <c r="F165" s="5"/>
      <c r="G165" s="5"/>
      <c r="H165" s="5"/>
      <c r="I165" s="5"/>
      <c r="J165" s="5"/>
      <c r="K165" s="5"/>
    </row>
    <row r="166" spans="2:11">
      <c r="B166" s="5"/>
      <c r="D166" s="5"/>
      <c r="E166" s="5"/>
      <c r="F166" s="5"/>
      <c r="G166" s="5"/>
      <c r="H166" s="5"/>
      <c r="I166" s="5"/>
      <c r="J166" s="5"/>
      <c r="K166" s="5"/>
    </row>
    <row r="167" spans="2:11">
      <c r="B167" s="5"/>
      <c r="D167" s="5"/>
      <c r="E167" s="5"/>
      <c r="F167" s="5"/>
      <c r="G167" s="5"/>
      <c r="H167" s="5"/>
      <c r="I167" s="5"/>
      <c r="J167" s="5"/>
      <c r="K167" s="5"/>
    </row>
    <row r="168" spans="2:11">
      <c r="B168" s="5"/>
      <c r="D168" s="5"/>
      <c r="E168" s="5"/>
      <c r="F168" s="5"/>
      <c r="G168" s="5"/>
      <c r="H168" s="5"/>
      <c r="I168" s="5"/>
      <c r="J168" s="5"/>
      <c r="K168" s="5"/>
    </row>
    <row r="169" spans="2:11">
      <c r="B169" s="5"/>
      <c r="D169" s="5"/>
      <c r="E169" s="5"/>
      <c r="F169" s="5"/>
      <c r="G169" s="5"/>
      <c r="H169" s="5"/>
      <c r="I169" s="5"/>
      <c r="J169" s="5"/>
      <c r="K169" s="5"/>
    </row>
    <row r="170" spans="2:11">
      <c r="B170" s="5"/>
      <c r="D170" s="5"/>
      <c r="E170" s="5"/>
      <c r="F170" s="5"/>
      <c r="G170" s="5"/>
      <c r="H170" s="5"/>
      <c r="I170" s="5"/>
      <c r="J170" s="5"/>
      <c r="K170" s="5"/>
    </row>
    <row r="171" spans="2:11">
      <c r="B171" s="5"/>
      <c r="D171" s="5"/>
      <c r="E171" s="5"/>
      <c r="F171" s="5"/>
      <c r="G171" s="5"/>
      <c r="H171" s="5"/>
      <c r="I171" s="5"/>
      <c r="J171" s="5"/>
      <c r="K171" s="5"/>
    </row>
    <row r="172" spans="2:11">
      <c r="B172" s="5"/>
      <c r="D172" s="5"/>
      <c r="E172" s="5"/>
      <c r="F172" s="5"/>
      <c r="G172" s="5"/>
      <c r="H172" s="5"/>
      <c r="I172" s="5"/>
      <c r="J172" s="5"/>
      <c r="K172" s="5"/>
    </row>
    <row r="173" spans="2:11">
      <c r="B173" s="5"/>
      <c r="D173" s="5"/>
      <c r="E173" s="5"/>
      <c r="F173" s="5"/>
      <c r="G173" s="5"/>
      <c r="H173" s="5"/>
      <c r="I173" s="5"/>
      <c r="J173" s="5"/>
      <c r="K173" s="5"/>
    </row>
    <row r="174" spans="2:11">
      <c r="B174" s="5"/>
      <c r="D174" s="5"/>
      <c r="E174" s="5"/>
      <c r="F174" s="5"/>
      <c r="G174" s="5"/>
      <c r="H174" s="5"/>
      <c r="I174" s="5"/>
      <c r="J174" s="5"/>
      <c r="K174" s="5"/>
    </row>
    <row r="175" spans="2:11">
      <c r="B175" s="5"/>
      <c r="D175" s="5"/>
      <c r="E175" s="5"/>
      <c r="F175" s="5"/>
      <c r="G175" s="5"/>
      <c r="H175" s="5"/>
      <c r="I175" s="5"/>
      <c r="J175" s="5"/>
      <c r="K175" s="5"/>
    </row>
    <row r="176" spans="2:11">
      <c r="B176" s="5"/>
      <c r="D176" s="5"/>
      <c r="E176" s="5"/>
      <c r="F176" s="5"/>
      <c r="G176" s="5"/>
      <c r="H176" s="5"/>
      <c r="I176" s="5"/>
      <c r="J176" s="5"/>
      <c r="K176" s="5"/>
    </row>
    <row r="177" spans="2:11">
      <c r="B177" s="5"/>
      <c r="D177" s="5"/>
      <c r="E177" s="5"/>
      <c r="F177" s="5"/>
      <c r="G177" s="5"/>
      <c r="H177" s="5"/>
      <c r="I177" s="5"/>
      <c r="J177" s="5"/>
      <c r="K177" s="5"/>
    </row>
    <row r="178" spans="2:11">
      <c r="B178" s="5"/>
      <c r="D178" s="5"/>
      <c r="E178" s="5"/>
      <c r="F178" s="5"/>
      <c r="G178" s="5"/>
      <c r="H178" s="5"/>
      <c r="I178" s="5"/>
      <c r="J178" s="5"/>
      <c r="K178" s="5"/>
    </row>
    <row r="179" spans="2:11">
      <c r="B179" s="5"/>
      <c r="D179" s="5"/>
      <c r="E179" s="5"/>
      <c r="F179" s="5"/>
      <c r="G179" s="5"/>
      <c r="H179" s="5"/>
      <c r="I179" s="5"/>
      <c r="J179" s="5"/>
      <c r="K179" s="5"/>
    </row>
    <row r="180" spans="2:11">
      <c r="B180" s="5"/>
      <c r="D180" s="5"/>
      <c r="E180" s="5"/>
      <c r="F180" s="5"/>
      <c r="G180" s="5"/>
      <c r="H180" s="5"/>
      <c r="I180" s="5"/>
      <c r="J180" s="5"/>
      <c r="K180" s="5"/>
    </row>
    <row r="181" spans="2:11">
      <c r="B181" s="5"/>
      <c r="D181" s="5"/>
      <c r="E181" s="5"/>
      <c r="F181" s="5"/>
      <c r="G181" s="5"/>
      <c r="H181" s="5"/>
      <c r="I181" s="5"/>
      <c r="J181" s="5"/>
      <c r="K181" s="5"/>
    </row>
    <row r="182" spans="2:11">
      <c r="B182" s="5"/>
      <c r="D182" s="5"/>
      <c r="E182" s="5"/>
      <c r="F182" s="5"/>
      <c r="G182" s="5"/>
      <c r="H182" s="5"/>
      <c r="I182" s="5"/>
      <c r="J182" s="5"/>
      <c r="K182" s="5"/>
    </row>
  </sheetData>
  <mergeCells count="37">
    <mergeCell ref="B10:D10"/>
    <mergeCell ref="F10:S10"/>
    <mergeCell ref="F11:S11"/>
    <mergeCell ref="E12:R12"/>
    <mergeCell ref="E13:R13"/>
    <mergeCell ref="B15:B24"/>
    <mergeCell ref="L25:L26"/>
    <mergeCell ref="B60:G61"/>
    <mergeCell ref="B79:B90"/>
    <mergeCell ref="B64:D64"/>
    <mergeCell ref="B66:B71"/>
    <mergeCell ref="B72:B73"/>
    <mergeCell ref="D72:D73"/>
    <mergeCell ref="B74:B78"/>
    <mergeCell ref="C25:C26"/>
    <mergeCell ref="D25:D26"/>
    <mergeCell ref="E25:E26"/>
    <mergeCell ref="F25:F26"/>
    <mergeCell ref="G25:G26"/>
    <mergeCell ref="K25:K26"/>
    <mergeCell ref="D15:L15"/>
    <mergeCell ref="D21:L21"/>
    <mergeCell ref="D22:L22"/>
    <mergeCell ref="D23:L23"/>
    <mergeCell ref="D24:L24"/>
    <mergeCell ref="J25:J26"/>
    <mergeCell ref="B47:B53"/>
    <mergeCell ref="D34:L34"/>
    <mergeCell ref="D35:L35"/>
    <mergeCell ref="B37:E37"/>
    <mergeCell ref="B38:B44"/>
    <mergeCell ref="B46:E46"/>
    <mergeCell ref="A1:P1"/>
    <mergeCell ref="A2:P2"/>
    <mergeCell ref="A3:P3"/>
    <mergeCell ref="A4:D4"/>
    <mergeCell ref="A5:P5"/>
  </mergeCells>
  <phoneticPr fontId="43" type="noConversion"/>
  <conditionalFormatting sqref="E12:R12">
    <cfRule type="expression" dxfId="77" priority="1">
      <formula>E11="SI SE REPORTA"</formula>
    </cfRule>
  </conditionalFormatting>
  <conditionalFormatting sqref="F10">
    <cfRule type="notContainsBlanks" dxfId="76" priority="4">
      <formula>LEN(TRIM(F10))&gt;0</formula>
    </cfRule>
  </conditionalFormatting>
  <conditionalFormatting sqref="F11:S11">
    <cfRule type="expression" dxfId="75" priority="2">
      <formula>E11="NO SE REPORTA"</formula>
    </cfRule>
    <cfRule type="expression" dxfId="74" priority="3">
      <formula>E10="NO APLICA"</formula>
    </cfRule>
  </conditionalFormatting>
  <dataValidations count="4">
    <dataValidation type="whole" operator="greaterThanOrEqual" allowBlank="1" showErrorMessage="1" errorTitle="ERROR" error="Escriba un número igual o mayor que 0" promptTitle="ERROR" prompt="Escriba un número igual o mayor que 0" sqref="E17:F19" xr:uid="{00000000-0002-0000-1000-000000000000}">
      <formula1>0</formula1>
    </dataValidation>
    <dataValidation type="whole" operator="greaterThanOrEqual" allowBlank="1" showInputMessage="1" showErrorMessage="1" errorTitle="ERROR" error="Valor en PESOS (sin centavos)" sqref="H27:H32 I32:K32" xr:uid="{00000000-0002-0000-1000-000001000000}">
      <formula1>0</formula1>
    </dataValidation>
    <dataValidation type="list" allowBlank="1" showInputMessage="1" showErrorMessage="1" sqref="E11" xr:uid="{00000000-0002-0000-1000-000002000000}">
      <formula1>REPORTE</formula1>
    </dataValidation>
    <dataValidation type="list" allowBlank="1" showInputMessage="1" showErrorMessage="1" sqref="E10" xr:uid="{00000000-0002-0000-1000-000003000000}">
      <formula1>SI</formula1>
    </dataValidation>
  </dataValidations>
  <hyperlinks>
    <hyperlink ref="B9" location="'ANEXO 3'!A1" display="VOLVER AL INDICE" xr:uid="{00000000-0004-0000-1000-000000000000}"/>
    <hyperlink ref="E42" r:id="rId1" xr:uid="{00000000-0004-0000-1000-000001000000}"/>
  </hyperlinks>
  <pageMargins left="0.25" right="0.25" top="0.75" bottom="0.75" header="0.3" footer="0.3"/>
  <pageSetup paperSize="178" orientation="landscape" horizontalDpi="1200" verticalDpi="12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5">
    <pageSetUpPr fitToPage="1"/>
  </sheetPr>
  <dimension ref="A1:Y343"/>
  <sheetViews>
    <sheetView zoomScale="80" zoomScaleNormal="80" zoomScaleSheetLayoutView="100" workbookViewId="0">
      <pane ySplit="1428" topLeftCell="A85" activePane="bottomLeft"/>
      <selection activeCell="A6" sqref="A1:A1048576"/>
      <selection pane="bottomLeft" activeCell="J99" sqref="J99"/>
    </sheetView>
  </sheetViews>
  <sheetFormatPr baseColWidth="10" defaultRowHeight="36" customHeight="1"/>
  <cols>
    <col min="1" max="1" width="10" customWidth="1"/>
    <col min="2" max="2" width="14.6640625" customWidth="1"/>
    <col min="3" max="3" width="14.109375" customWidth="1"/>
    <col min="4" max="4" width="16.109375" customWidth="1"/>
    <col min="10" max="10" width="122.44140625" bestFit="1" customWidth="1"/>
    <col min="11" max="14" width="17.33203125" customWidth="1"/>
    <col min="15" max="15" width="25.6640625" bestFit="1" customWidth="1"/>
    <col min="16" max="18" width="18.88671875" customWidth="1"/>
    <col min="19" max="19" width="19.33203125" customWidth="1"/>
    <col min="20" max="20" width="17.44140625" customWidth="1"/>
    <col min="21" max="21" width="14" customWidth="1"/>
    <col min="22" max="22" width="26.88671875" customWidth="1"/>
    <col min="23" max="23" width="19.44140625" hidden="1" customWidth="1"/>
    <col min="24" max="24" width="15.109375" hidden="1" customWidth="1"/>
    <col min="25" max="25" width="0" hidden="1" customWidth="1"/>
  </cols>
  <sheetData>
    <row r="1" spans="1:25" ht="109.5" customHeight="1" thickBot="1">
      <c r="A1" s="1333"/>
      <c r="B1" s="1334"/>
      <c r="C1" s="1334"/>
      <c r="D1" s="1334"/>
      <c r="E1" s="1334"/>
      <c r="F1" s="1335"/>
      <c r="G1" s="1335"/>
      <c r="H1" s="1335"/>
      <c r="I1" s="1334"/>
      <c r="J1" s="1334"/>
      <c r="K1" s="1334"/>
      <c r="L1" s="1334"/>
      <c r="M1" s="1334"/>
      <c r="N1" s="1334"/>
      <c r="O1" s="1334"/>
      <c r="P1" s="1334"/>
      <c r="Q1" s="1334"/>
      <c r="R1" s="1334"/>
      <c r="S1" s="1334"/>
      <c r="T1" s="1334"/>
      <c r="U1" s="1334"/>
      <c r="V1" s="1336"/>
    </row>
    <row r="2" spans="1:25" ht="26.25" customHeight="1">
      <c r="A2" s="1337" t="s">
        <v>1654</v>
      </c>
      <c r="B2" s="1338"/>
      <c r="C2" s="1338"/>
      <c r="D2" s="1338"/>
      <c r="E2" s="1338"/>
      <c r="F2" s="1339"/>
      <c r="G2" s="1339"/>
      <c r="H2" s="1339"/>
      <c r="I2" s="1338"/>
      <c r="J2" s="1338"/>
      <c r="K2" s="1338"/>
      <c r="L2" s="1338"/>
      <c r="M2" s="1338"/>
      <c r="N2" s="1338"/>
      <c r="O2" s="1338"/>
      <c r="P2" s="1338"/>
      <c r="Q2" s="1338"/>
      <c r="R2" s="1338"/>
      <c r="S2" s="1338"/>
      <c r="T2" s="1338"/>
      <c r="U2" s="1338"/>
      <c r="V2" s="1340"/>
    </row>
    <row r="3" spans="1:25" ht="26.25" customHeight="1">
      <c r="A3" s="1341" t="s">
        <v>1296</v>
      </c>
      <c r="B3" s="1342"/>
      <c r="C3" s="1342"/>
      <c r="D3" s="1342"/>
      <c r="E3" s="1342"/>
      <c r="F3" s="1343"/>
      <c r="G3" s="1343"/>
      <c r="H3" s="1343"/>
      <c r="I3" s="1342"/>
      <c r="J3" s="1342"/>
      <c r="K3" s="1342"/>
      <c r="L3" s="1342"/>
      <c r="M3" s="1342"/>
      <c r="N3" s="1342"/>
      <c r="O3" s="1342"/>
      <c r="P3" s="1342"/>
      <c r="Q3" s="1342"/>
      <c r="R3" s="1342"/>
      <c r="S3" s="1342"/>
      <c r="T3" s="1342"/>
      <c r="U3" s="1342"/>
      <c r="V3" s="1344"/>
    </row>
    <row r="4" spans="1:25" ht="26.25" customHeight="1" thickBot="1">
      <c r="A4" s="1345" t="s">
        <v>1245</v>
      </c>
      <c r="B4" s="1346"/>
      <c r="C4" s="1346"/>
      <c r="D4" s="1346"/>
      <c r="E4" s="1346"/>
      <c r="F4" s="1347"/>
      <c r="G4" s="1347"/>
      <c r="H4" s="1347"/>
      <c r="I4" s="1346"/>
      <c r="J4" s="1346"/>
      <c r="K4" s="1346"/>
      <c r="L4" s="1346"/>
      <c r="M4" s="1346"/>
      <c r="N4" s="1346"/>
      <c r="O4" s="1346"/>
      <c r="P4" s="1346"/>
      <c r="Q4" s="1346"/>
      <c r="R4" s="1346"/>
      <c r="S4" s="1346"/>
      <c r="T4" s="1346"/>
      <c r="U4" s="1346"/>
      <c r="V4" s="1348"/>
    </row>
    <row r="5" spans="1:25" ht="36" customHeight="1" thickTop="1" thickBot="1">
      <c r="A5" s="1349" t="s">
        <v>1297</v>
      </c>
      <c r="B5" s="1350"/>
      <c r="C5" s="1350"/>
      <c r="D5" s="1350"/>
      <c r="E5" s="1350"/>
      <c r="F5" s="1350"/>
      <c r="G5" s="1350"/>
      <c r="H5" s="1350"/>
      <c r="I5" s="1351"/>
      <c r="J5" s="1329" t="s">
        <v>1298</v>
      </c>
      <c r="K5" s="1329" t="s">
        <v>1299</v>
      </c>
      <c r="L5" s="1352" t="s">
        <v>1300</v>
      </c>
      <c r="M5" s="1352"/>
      <c r="N5" s="1329" t="s">
        <v>1301</v>
      </c>
      <c r="O5" s="1353" t="s">
        <v>1302</v>
      </c>
      <c r="P5" s="1354"/>
      <c r="Q5" s="1354"/>
      <c r="R5" s="1355"/>
      <c r="S5" s="1356" t="s">
        <v>1303</v>
      </c>
      <c r="T5" s="1329" t="s">
        <v>1304</v>
      </c>
      <c r="U5" s="1328" t="s">
        <v>1305</v>
      </c>
      <c r="V5" s="1329" t="s">
        <v>1306</v>
      </c>
      <c r="W5" s="1331" t="s">
        <v>1307</v>
      </c>
      <c r="X5" s="1332" t="s">
        <v>1308</v>
      </c>
    </row>
    <row r="6" spans="1:25" s="335" customFormat="1" ht="36" customHeight="1" thickTop="1" thickBot="1">
      <c r="A6" s="329" t="s">
        <v>1309</v>
      </c>
      <c r="B6" s="329" t="s">
        <v>1246</v>
      </c>
      <c r="C6" s="330" t="s">
        <v>1310</v>
      </c>
      <c r="D6" s="329" t="s">
        <v>1250</v>
      </c>
      <c r="E6" s="329" t="s">
        <v>1311</v>
      </c>
      <c r="F6" s="329" t="s">
        <v>1312</v>
      </c>
      <c r="G6" s="329" t="s">
        <v>1313</v>
      </c>
      <c r="H6" s="329" t="s">
        <v>1314</v>
      </c>
      <c r="I6" s="331" t="s">
        <v>1315</v>
      </c>
      <c r="J6" s="1330"/>
      <c r="K6" s="1330"/>
      <c r="L6" s="332" t="s">
        <v>1316</v>
      </c>
      <c r="M6" s="333" t="s">
        <v>1317</v>
      </c>
      <c r="N6" s="1330"/>
      <c r="O6" s="334" t="s">
        <v>1318</v>
      </c>
      <c r="P6" s="332" t="s">
        <v>1319</v>
      </c>
      <c r="Q6" s="334" t="s">
        <v>1320</v>
      </c>
      <c r="R6" s="334" t="s">
        <v>1321</v>
      </c>
      <c r="S6" s="1357"/>
      <c r="T6" s="1330"/>
      <c r="U6" s="1329"/>
      <c r="V6" s="1330"/>
      <c r="W6" s="1331"/>
      <c r="X6" s="1332"/>
    </row>
    <row r="7" spans="1:25" ht="22.5" customHeight="1" thickTop="1" thickBot="1">
      <c r="A7" s="336" t="s">
        <v>1322</v>
      </c>
      <c r="B7" s="336"/>
      <c r="C7" s="336"/>
      <c r="D7" s="336"/>
      <c r="E7" s="336"/>
      <c r="F7" s="337"/>
      <c r="G7" s="337"/>
      <c r="H7" s="337"/>
      <c r="I7" s="338"/>
      <c r="J7" s="339" t="s">
        <v>1323</v>
      </c>
      <c r="K7" s="340" t="e">
        <f>+K8+#REF!+K335</f>
        <v>#REF!</v>
      </c>
      <c r="L7" s="340"/>
      <c r="M7" s="340"/>
      <c r="N7" s="340"/>
      <c r="O7" s="340"/>
      <c r="P7" s="340"/>
      <c r="Q7" s="340"/>
      <c r="R7" s="340"/>
      <c r="S7" s="340"/>
      <c r="T7" s="340"/>
      <c r="U7" s="341"/>
      <c r="V7" s="336"/>
      <c r="W7" s="336" t="s">
        <v>1325</v>
      </c>
      <c r="X7" s="336" t="s">
        <v>1324</v>
      </c>
      <c r="Y7" s="342" t="s">
        <v>1324</v>
      </c>
    </row>
    <row r="8" spans="1:25" ht="22.5" customHeight="1" thickTop="1" thickBot="1">
      <c r="A8" s="336" t="s">
        <v>1322</v>
      </c>
      <c r="B8" s="336" t="s">
        <v>1326</v>
      </c>
      <c r="C8" s="336"/>
      <c r="D8" s="336"/>
      <c r="E8" s="336"/>
      <c r="F8" s="337"/>
      <c r="G8" s="337"/>
      <c r="H8" s="337"/>
      <c r="I8" s="338"/>
      <c r="J8" s="339" t="s">
        <v>1789</v>
      </c>
      <c r="K8" s="340"/>
      <c r="L8" s="340"/>
      <c r="M8" s="340"/>
      <c r="N8" s="340"/>
      <c r="O8" s="340"/>
      <c r="P8" s="340"/>
      <c r="Q8" s="340"/>
      <c r="R8" s="340"/>
      <c r="S8" s="340"/>
      <c r="T8" s="340"/>
      <c r="U8" s="341"/>
      <c r="V8" s="336"/>
      <c r="W8" s="336"/>
      <c r="X8" s="336"/>
      <c r="Y8" s="342"/>
    </row>
    <row r="9" spans="1:25" ht="22.5" customHeight="1" thickTop="1" thickBot="1">
      <c r="A9" s="343">
        <v>1</v>
      </c>
      <c r="B9" s="344" t="s">
        <v>1326</v>
      </c>
      <c r="C9" s="344" t="s">
        <v>1326</v>
      </c>
      <c r="D9" s="344"/>
      <c r="E9" s="344"/>
      <c r="F9" s="345"/>
      <c r="G9" s="345"/>
      <c r="H9" s="345"/>
      <c r="I9" s="345"/>
      <c r="J9" s="346" t="s">
        <v>1327</v>
      </c>
      <c r="K9" s="347"/>
      <c r="L9" s="347"/>
      <c r="M9" s="347"/>
      <c r="N9" s="347"/>
      <c r="O9" s="347"/>
      <c r="P9" s="347"/>
      <c r="Q9" s="347"/>
      <c r="R9" s="347"/>
      <c r="S9" s="347"/>
      <c r="T9" s="347"/>
      <c r="U9" s="348"/>
      <c r="V9" s="343"/>
      <c r="W9" s="343" t="s">
        <v>1328</v>
      </c>
      <c r="X9" s="343"/>
      <c r="Y9" s="342" t="s">
        <v>1324</v>
      </c>
    </row>
    <row r="10" spans="1:25" ht="22.5" customHeight="1" thickTop="1" thickBot="1">
      <c r="A10" s="349">
        <v>1</v>
      </c>
      <c r="B10" s="350" t="s">
        <v>1326</v>
      </c>
      <c r="C10" s="350" t="s">
        <v>1326</v>
      </c>
      <c r="D10" s="350" t="s">
        <v>1326</v>
      </c>
      <c r="E10" s="350"/>
      <c r="F10" s="351"/>
      <c r="G10" s="351"/>
      <c r="H10" s="351"/>
      <c r="I10" s="351"/>
      <c r="J10" s="352" t="s">
        <v>1329</v>
      </c>
      <c r="K10" s="353"/>
      <c r="L10" s="353"/>
      <c r="M10" s="353"/>
      <c r="N10" s="353"/>
      <c r="O10" s="353"/>
      <c r="P10" s="353"/>
      <c r="Q10" s="353"/>
      <c r="R10" s="353"/>
      <c r="S10" s="353"/>
      <c r="T10" s="353"/>
      <c r="U10" s="354"/>
      <c r="V10" s="349"/>
      <c r="W10" s="349" t="s">
        <v>1330</v>
      </c>
      <c r="X10" s="349" t="s">
        <v>1331</v>
      </c>
      <c r="Y10" s="342" t="s">
        <v>1324</v>
      </c>
    </row>
    <row r="11" spans="1:25" ht="22.5" customHeight="1" thickTop="1" thickBot="1">
      <c r="A11" s="355" t="s">
        <v>1322</v>
      </c>
      <c r="B11" s="356" t="s">
        <v>1326</v>
      </c>
      <c r="C11" s="356" t="s">
        <v>1326</v>
      </c>
      <c r="D11" s="356" t="s">
        <v>1326</v>
      </c>
      <c r="E11" s="356" t="s">
        <v>1326</v>
      </c>
      <c r="F11" s="357"/>
      <c r="G11" s="357"/>
      <c r="H11" s="357"/>
      <c r="I11" s="357"/>
      <c r="J11" s="358" t="s">
        <v>1332</v>
      </c>
      <c r="K11" s="359"/>
      <c r="L11" s="359"/>
      <c r="M11" s="359"/>
      <c r="N11" s="359"/>
      <c r="O11" s="359"/>
      <c r="P11" s="359"/>
      <c r="Q11" s="359"/>
      <c r="R11" s="359"/>
      <c r="S11" s="359"/>
      <c r="T11" s="359"/>
      <c r="U11" s="360"/>
      <c r="V11" s="356"/>
      <c r="W11" s="355" t="s">
        <v>1333</v>
      </c>
      <c r="X11" s="355" t="s">
        <v>1334</v>
      </c>
      <c r="Y11" s="342" t="s">
        <v>1324</v>
      </c>
    </row>
    <row r="12" spans="1:25" s="147" customFormat="1" ht="22.5" customHeight="1" thickTop="1" thickBot="1">
      <c r="A12" s="361" t="s">
        <v>1322</v>
      </c>
      <c r="B12" s="361" t="s">
        <v>1326</v>
      </c>
      <c r="C12" s="361" t="s">
        <v>1326</v>
      </c>
      <c r="D12" s="361" t="s">
        <v>1326</v>
      </c>
      <c r="E12" s="361" t="s">
        <v>1326</v>
      </c>
      <c r="F12" s="362" t="s">
        <v>1326</v>
      </c>
      <c r="G12" s="362"/>
      <c r="H12" s="362"/>
      <c r="I12" s="362"/>
      <c r="J12" s="363" t="s">
        <v>1335</v>
      </c>
      <c r="K12" s="364"/>
      <c r="L12" s="364"/>
      <c r="M12" s="364"/>
      <c r="N12" s="364"/>
      <c r="O12" s="364"/>
      <c r="P12" s="364"/>
      <c r="Q12" s="364"/>
      <c r="R12" s="364"/>
      <c r="S12" s="364"/>
      <c r="T12" s="364"/>
      <c r="U12" s="365"/>
      <c r="V12" s="366"/>
      <c r="W12" s="366" t="s">
        <v>1336</v>
      </c>
      <c r="X12" s="366" t="s">
        <v>1337</v>
      </c>
      <c r="Y12" s="342" t="s">
        <v>1324</v>
      </c>
    </row>
    <row r="13" spans="1:25" ht="22.5" customHeight="1" thickTop="1" thickBot="1">
      <c r="A13" s="362" t="s">
        <v>1322</v>
      </c>
      <c r="B13" s="362" t="s">
        <v>1326</v>
      </c>
      <c r="C13" s="362" t="s">
        <v>1326</v>
      </c>
      <c r="D13" s="362" t="s">
        <v>1326</v>
      </c>
      <c r="E13" s="362" t="s">
        <v>1326</v>
      </c>
      <c r="F13" s="362" t="s">
        <v>1326</v>
      </c>
      <c r="G13" s="362" t="s">
        <v>1326</v>
      </c>
      <c r="H13" s="362"/>
      <c r="I13" s="362"/>
      <c r="J13" s="367" t="s">
        <v>1338</v>
      </c>
      <c r="K13" s="368"/>
      <c r="L13" s="368"/>
      <c r="M13" s="368"/>
      <c r="N13" s="368"/>
      <c r="O13" s="368"/>
      <c r="P13" s="368"/>
      <c r="Q13" s="368"/>
      <c r="R13" s="368"/>
      <c r="S13" s="368"/>
      <c r="T13" s="368"/>
      <c r="U13" s="369"/>
      <c r="V13" s="370"/>
      <c r="W13" s="370"/>
      <c r="X13" s="370"/>
      <c r="Y13" s="342" t="s">
        <v>1324</v>
      </c>
    </row>
    <row r="14" spans="1:25" ht="22.5" customHeight="1" thickTop="1" thickBot="1">
      <c r="A14" s="362" t="s">
        <v>1322</v>
      </c>
      <c r="B14" s="362" t="s">
        <v>1326</v>
      </c>
      <c r="C14" s="362" t="s">
        <v>1326</v>
      </c>
      <c r="D14" s="362" t="s">
        <v>1326</v>
      </c>
      <c r="E14" s="362" t="s">
        <v>1326</v>
      </c>
      <c r="F14" s="362" t="s">
        <v>1326</v>
      </c>
      <c r="G14" s="362" t="s">
        <v>1339</v>
      </c>
      <c r="H14" s="362"/>
      <c r="I14" s="362"/>
      <c r="J14" s="367" t="s">
        <v>1340</v>
      </c>
      <c r="K14" s="368"/>
      <c r="L14" s="368"/>
      <c r="M14" s="368"/>
      <c r="N14" s="368"/>
      <c r="O14" s="368"/>
      <c r="P14" s="368"/>
      <c r="Q14" s="368"/>
      <c r="R14" s="368"/>
      <c r="S14" s="368"/>
      <c r="T14" s="368"/>
      <c r="U14" s="369"/>
      <c r="V14" s="370"/>
      <c r="W14" s="370"/>
      <c r="X14" s="370"/>
      <c r="Y14" s="342" t="s">
        <v>1324</v>
      </c>
    </row>
    <row r="15" spans="1:25" ht="22.5" customHeight="1" thickTop="1" thickBot="1">
      <c r="A15" s="362" t="s">
        <v>1322</v>
      </c>
      <c r="B15" s="362" t="s">
        <v>1326</v>
      </c>
      <c r="C15" s="362" t="s">
        <v>1326</v>
      </c>
      <c r="D15" s="362" t="s">
        <v>1326</v>
      </c>
      <c r="E15" s="362" t="s">
        <v>1326</v>
      </c>
      <c r="F15" s="362" t="s">
        <v>1326</v>
      </c>
      <c r="G15" s="362" t="s">
        <v>1363</v>
      </c>
      <c r="H15" s="362"/>
      <c r="I15" s="362"/>
      <c r="J15" s="367" t="s">
        <v>1784</v>
      </c>
      <c r="K15" s="368"/>
      <c r="L15" s="368"/>
      <c r="M15" s="368"/>
      <c r="N15" s="368"/>
      <c r="O15" s="368"/>
      <c r="P15" s="368"/>
      <c r="Q15" s="368"/>
      <c r="R15" s="368"/>
      <c r="S15" s="368"/>
      <c r="T15" s="368"/>
      <c r="U15" s="369"/>
      <c r="V15" s="370"/>
      <c r="W15" s="370"/>
      <c r="X15" s="370"/>
      <c r="Y15" s="342"/>
    </row>
    <row r="16" spans="1:25" ht="22.5" customHeight="1" thickTop="1" thickBot="1">
      <c r="A16" s="362" t="s">
        <v>1322</v>
      </c>
      <c r="B16" s="362" t="s">
        <v>1326</v>
      </c>
      <c r="C16" s="362" t="s">
        <v>1326</v>
      </c>
      <c r="D16" s="362" t="s">
        <v>1326</v>
      </c>
      <c r="E16" s="362" t="s">
        <v>1326</v>
      </c>
      <c r="F16" s="362" t="s">
        <v>1326</v>
      </c>
      <c r="G16" s="362" t="s">
        <v>1367</v>
      </c>
      <c r="H16" s="362"/>
      <c r="I16" s="362"/>
      <c r="J16" s="367" t="s">
        <v>1785</v>
      </c>
      <c r="K16" s="368"/>
      <c r="L16" s="368"/>
      <c r="M16" s="368"/>
      <c r="N16" s="368"/>
      <c r="O16" s="368"/>
      <c r="P16" s="368"/>
      <c r="Q16" s="368"/>
      <c r="R16" s="368"/>
      <c r="S16" s="368"/>
      <c r="T16" s="368"/>
      <c r="U16" s="369"/>
      <c r="V16" s="370"/>
      <c r="W16" s="370"/>
      <c r="X16" s="370"/>
      <c r="Y16" s="342"/>
    </row>
    <row r="17" spans="1:25" ht="22.5" customHeight="1" thickTop="1" thickBot="1">
      <c r="A17" s="362" t="s">
        <v>1322</v>
      </c>
      <c r="B17" s="362" t="s">
        <v>1326</v>
      </c>
      <c r="C17" s="362" t="s">
        <v>1326</v>
      </c>
      <c r="D17" s="362" t="s">
        <v>1326</v>
      </c>
      <c r="E17" s="362" t="s">
        <v>1326</v>
      </c>
      <c r="F17" s="362" t="s">
        <v>1326</v>
      </c>
      <c r="G17" s="362" t="s">
        <v>1392</v>
      </c>
      <c r="H17" s="362"/>
      <c r="I17" s="362"/>
      <c r="J17" s="367" t="s">
        <v>1786</v>
      </c>
      <c r="K17" s="368"/>
      <c r="L17" s="368"/>
      <c r="M17" s="368"/>
      <c r="N17" s="368"/>
      <c r="O17" s="368"/>
      <c r="P17" s="368"/>
      <c r="Q17" s="368"/>
      <c r="R17" s="368"/>
      <c r="S17" s="368"/>
      <c r="T17" s="368"/>
      <c r="U17" s="369"/>
      <c r="V17" s="370"/>
      <c r="W17" s="370"/>
      <c r="X17" s="370"/>
      <c r="Y17" s="342"/>
    </row>
    <row r="18" spans="1:25" ht="22.5" customHeight="1" thickTop="1" thickBot="1">
      <c r="A18" s="362" t="s">
        <v>1322</v>
      </c>
      <c r="B18" s="362" t="s">
        <v>1326</v>
      </c>
      <c r="C18" s="362" t="s">
        <v>1326</v>
      </c>
      <c r="D18" s="362" t="s">
        <v>1326</v>
      </c>
      <c r="E18" s="362" t="s">
        <v>1326</v>
      </c>
      <c r="F18" s="362" t="s">
        <v>1326</v>
      </c>
      <c r="G18" s="362" t="s">
        <v>1415</v>
      </c>
      <c r="H18" s="362"/>
      <c r="I18" s="362"/>
      <c r="J18" s="367" t="s">
        <v>1787</v>
      </c>
      <c r="K18" s="368"/>
      <c r="L18" s="368"/>
      <c r="M18" s="368"/>
      <c r="N18" s="368"/>
      <c r="O18" s="368"/>
      <c r="P18" s="368"/>
      <c r="Q18" s="368"/>
      <c r="R18" s="368"/>
      <c r="S18" s="368"/>
      <c r="T18" s="368"/>
      <c r="U18" s="369"/>
      <c r="V18" s="370"/>
      <c r="W18" s="370"/>
      <c r="X18" s="370"/>
      <c r="Y18" s="342"/>
    </row>
    <row r="19" spans="1:25" ht="22.5" customHeight="1" thickTop="1" thickBot="1">
      <c r="A19" s="362" t="s">
        <v>1322</v>
      </c>
      <c r="B19" s="362" t="s">
        <v>1326</v>
      </c>
      <c r="C19" s="362" t="s">
        <v>1326</v>
      </c>
      <c r="D19" s="362" t="s">
        <v>1326</v>
      </c>
      <c r="E19" s="362" t="s">
        <v>1326</v>
      </c>
      <c r="F19" s="362" t="s">
        <v>1326</v>
      </c>
      <c r="G19" s="362" t="s">
        <v>1419</v>
      </c>
      <c r="H19" s="362"/>
      <c r="I19" s="362"/>
      <c r="J19" s="367" t="s">
        <v>1788</v>
      </c>
      <c r="K19" s="368"/>
      <c r="L19" s="368"/>
      <c r="M19" s="368"/>
      <c r="N19" s="368"/>
      <c r="O19" s="368"/>
      <c r="P19" s="368"/>
      <c r="Q19" s="368"/>
      <c r="R19" s="368"/>
      <c r="S19" s="368"/>
      <c r="T19" s="368"/>
      <c r="U19" s="369"/>
      <c r="V19" s="370"/>
      <c r="W19" s="370"/>
      <c r="X19" s="370"/>
      <c r="Y19" s="342"/>
    </row>
    <row r="20" spans="1:25" ht="22.5" customHeight="1" thickTop="1" thickBot="1">
      <c r="A20" s="362" t="s">
        <v>1322</v>
      </c>
      <c r="B20" s="362" t="s">
        <v>1326</v>
      </c>
      <c r="C20" s="362" t="s">
        <v>1326</v>
      </c>
      <c r="D20" s="362" t="s">
        <v>1326</v>
      </c>
      <c r="E20" s="362" t="s">
        <v>1326</v>
      </c>
      <c r="F20" s="362" t="s">
        <v>1326</v>
      </c>
      <c r="G20" s="362" t="s">
        <v>1423</v>
      </c>
      <c r="H20" s="362"/>
      <c r="I20" s="362"/>
      <c r="J20" s="367" t="s">
        <v>1785</v>
      </c>
      <c r="K20" s="368"/>
      <c r="L20" s="368"/>
      <c r="M20" s="368"/>
      <c r="N20" s="368"/>
      <c r="O20" s="368"/>
      <c r="P20" s="368"/>
      <c r="Q20" s="368"/>
      <c r="R20" s="368"/>
      <c r="S20" s="368"/>
      <c r="T20" s="368"/>
      <c r="U20" s="369"/>
      <c r="V20" s="370"/>
      <c r="W20" s="370"/>
      <c r="X20" s="370"/>
      <c r="Y20" s="342"/>
    </row>
    <row r="21" spans="1:25" s="147" customFormat="1" ht="22.5" customHeight="1" thickTop="1" thickBot="1">
      <c r="A21" s="361" t="s">
        <v>1322</v>
      </c>
      <c r="B21" s="361" t="s">
        <v>1326</v>
      </c>
      <c r="C21" s="361" t="s">
        <v>1326</v>
      </c>
      <c r="D21" s="361" t="s">
        <v>1326</v>
      </c>
      <c r="E21" s="361" t="s">
        <v>1326</v>
      </c>
      <c r="F21" s="361" t="s">
        <v>1339</v>
      </c>
      <c r="G21" s="362"/>
      <c r="H21" s="362"/>
      <c r="I21" s="362"/>
      <c r="J21" s="363" t="s">
        <v>1341</v>
      </c>
      <c r="K21" s="371"/>
      <c r="L21" s="371"/>
      <c r="M21" s="371"/>
      <c r="N21" s="371"/>
      <c r="O21" s="371"/>
      <c r="P21" s="371"/>
      <c r="Q21" s="371"/>
      <c r="R21" s="371"/>
      <c r="S21" s="371"/>
      <c r="T21" s="371"/>
      <c r="U21" s="372"/>
      <c r="V21" s="366"/>
      <c r="W21" s="366" t="s">
        <v>1342</v>
      </c>
      <c r="X21" s="366" t="s">
        <v>1343</v>
      </c>
      <c r="Y21" s="342" t="s">
        <v>1324</v>
      </c>
    </row>
    <row r="22" spans="1:25" ht="22.5" customHeight="1" thickTop="1" thickBot="1">
      <c r="A22" s="362" t="s">
        <v>1322</v>
      </c>
      <c r="B22" s="362" t="s">
        <v>1326</v>
      </c>
      <c r="C22" s="362" t="s">
        <v>1326</v>
      </c>
      <c r="D22" s="362" t="s">
        <v>1326</v>
      </c>
      <c r="E22" s="362" t="s">
        <v>1339</v>
      </c>
      <c r="F22" s="361" t="s">
        <v>1339</v>
      </c>
      <c r="G22" s="362" t="s">
        <v>1326</v>
      </c>
      <c r="H22" s="362"/>
      <c r="I22" s="362"/>
      <c r="J22" s="367" t="s">
        <v>1344</v>
      </c>
      <c r="K22" s="373"/>
      <c r="L22" s="373"/>
      <c r="M22" s="373"/>
      <c r="N22" s="368"/>
      <c r="O22" s="373"/>
      <c r="P22" s="373"/>
      <c r="Q22" s="373"/>
      <c r="R22" s="373"/>
      <c r="S22" s="368"/>
      <c r="T22" s="373"/>
      <c r="U22" s="374"/>
      <c r="V22" s="370"/>
      <c r="W22" s="370"/>
      <c r="X22" s="370"/>
      <c r="Y22" s="342" t="s">
        <v>1324</v>
      </c>
    </row>
    <row r="23" spans="1:25" ht="22.5" customHeight="1" thickTop="1" thickBot="1">
      <c r="A23" s="362" t="s">
        <v>1322</v>
      </c>
      <c r="B23" s="362" t="s">
        <v>1326</v>
      </c>
      <c r="C23" s="362" t="s">
        <v>1326</v>
      </c>
      <c r="D23" s="362" t="s">
        <v>1326</v>
      </c>
      <c r="E23" s="362" t="s">
        <v>1339</v>
      </c>
      <c r="F23" s="361" t="s">
        <v>1339</v>
      </c>
      <c r="G23" s="362" t="s">
        <v>1339</v>
      </c>
      <c r="H23" s="362"/>
      <c r="I23" s="362"/>
      <c r="J23" s="367" t="s">
        <v>1345</v>
      </c>
      <c r="K23" s="373"/>
      <c r="L23" s="373"/>
      <c r="M23" s="373"/>
      <c r="N23" s="368"/>
      <c r="O23" s="373"/>
      <c r="P23" s="373"/>
      <c r="Q23" s="373"/>
      <c r="R23" s="373"/>
      <c r="S23" s="368"/>
      <c r="T23" s="373"/>
      <c r="U23" s="374"/>
      <c r="V23" s="370"/>
      <c r="W23" s="370"/>
      <c r="X23" s="370"/>
      <c r="Y23" s="342" t="s">
        <v>1324</v>
      </c>
    </row>
    <row r="24" spans="1:25" ht="22.5" customHeight="1" thickTop="1" thickBot="1">
      <c r="A24" s="362" t="s">
        <v>1322</v>
      </c>
      <c r="B24" s="362" t="s">
        <v>1326</v>
      </c>
      <c r="C24" s="362" t="s">
        <v>1326</v>
      </c>
      <c r="D24" s="362" t="s">
        <v>1326</v>
      </c>
      <c r="E24" s="362" t="s">
        <v>1339</v>
      </c>
      <c r="F24" s="361" t="s">
        <v>1339</v>
      </c>
      <c r="G24" s="362" t="s">
        <v>1363</v>
      </c>
      <c r="H24" s="362"/>
      <c r="I24" s="362"/>
      <c r="J24" s="367" t="s">
        <v>1779</v>
      </c>
      <c r="K24" s="373"/>
      <c r="L24" s="373"/>
      <c r="M24" s="373"/>
      <c r="N24" s="368"/>
      <c r="O24" s="373"/>
      <c r="P24" s="373"/>
      <c r="Q24" s="373"/>
      <c r="R24" s="373"/>
      <c r="S24" s="368"/>
      <c r="T24" s="373"/>
      <c r="U24" s="374"/>
      <c r="V24" s="370"/>
      <c r="W24" s="370"/>
      <c r="X24" s="370"/>
      <c r="Y24" s="342"/>
    </row>
    <row r="25" spans="1:25" ht="22.5" customHeight="1" thickTop="1" thickBot="1">
      <c r="A25" s="362" t="s">
        <v>1322</v>
      </c>
      <c r="B25" s="362" t="s">
        <v>1326</v>
      </c>
      <c r="C25" s="362" t="s">
        <v>1326</v>
      </c>
      <c r="D25" s="362" t="s">
        <v>1326</v>
      </c>
      <c r="E25" s="362" t="s">
        <v>1339</v>
      </c>
      <c r="F25" s="361" t="s">
        <v>1339</v>
      </c>
      <c r="G25" s="362" t="s">
        <v>1367</v>
      </c>
      <c r="H25" s="362"/>
      <c r="I25" s="362"/>
      <c r="J25" s="367" t="s">
        <v>1780</v>
      </c>
      <c r="K25" s="373"/>
      <c r="L25" s="373"/>
      <c r="M25" s="373"/>
      <c r="N25" s="368"/>
      <c r="O25" s="373"/>
      <c r="P25" s="373"/>
      <c r="Q25" s="373"/>
      <c r="R25" s="373"/>
      <c r="S25" s="368"/>
      <c r="T25" s="373"/>
      <c r="U25" s="374"/>
      <c r="V25" s="370"/>
      <c r="W25" s="370"/>
      <c r="X25" s="370"/>
      <c r="Y25" s="342"/>
    </row>
    <row r="26" spans="1:25" ht="22.5" customHeight="1" thickTop="1" thickBot="1">
      <c r="A26" s="362" t="s">
        <v>1322</v>
      </c>
      <c r="B26" s="362" t="s">
        <v>1326</v>
      </c>
      <c r="C26" s="362" t="s">
        <v>1326</v>
      </c>
      <c r="D26" s="362" t="s">
        <v>1326</v>
      </c>
      <c r="E26" s="362" t="s">
        <v>1339</v>
      </c>
      <c r="F26" s="361" t="s">
        <v>1339</v>
      </c>
      <c r="G26" s="362" t="s">
        <v>1392</v>
      </c>
      <c r="H26" s="362"/>
      <c r="I26" s="362"/>
      <c r="J26" s="367" t="s">
        <v>1781</v>
      </c>
      <c r="K26" s="373"/>
      <c r="L26" s="373"/>
      <c r="M26" s="373"/>
      <c r="N26" s="368"/>
      <c r="O26" s="373"/>
      <c r="P26" s="373"/>
      <c r="Q26" s="373"/>
      <c r="R26" s="373"/>
      <c r="S26" s="368"/>
      <c r="T26" s="373"/>
      <c r="U26" s="374"/>
      <c r="V26" s="370"/>
      <c r="W26" s="370"/>
      <c r="X26" s="370"/>
      <c r="Y26" s="342"/>
    </row>
    <row r="27" spans="1:25" ht="22.5" customHeight="1" thickTop="1" thickBot="1">
      <c r="A27" s="362" t="s">
        <v>1322</v>
      </c>
      <c r="B27" s="362" t="s">
        <v>1326</v>
      </c>
      <c r="C27" s="362" t="s">
        <v>1326</v>
      </c>
      <c r="D27" s="362" t="s">
        <v>1326</v>
      </c>
      <c r="E27" s="362" t="s">
        <v>1339</v>
      </c>
      <c r="F27" s="361" t="s">
        <v>1339</v>
      </c>
      <c r="G27" s="362" t="s">
        <v>1415</v>
      </c>
      <c r="H27" s="362"/>
      <c r="I27" s="362"/>
      <c r="J27" s="367" t="s">
        <v>1782</v>
      </c>
      <c r="K27" s="373"/>
      <c r="L27" s="373"/>
      <c r="M27" s="373"/>
      <c r="N27" s="368"/>
      <c r="O27" s="373"/>
      <c r="P27" s="373"/>
      <c r="Q27" s="373"/>
      <c r="R27" s="373"/>
      <c r="S27" s="368"/>
      <c r="T27" s="373"/>
      <c r="U27" s="374"/>
      <c r="V27" s="370"/>
      <c r="W27" s="370"/>
      <c r="X27" s="370"/>
      <c r="Y27" s="342"/>
    </row>
    <row r="28" spans="1:25" ht="22.5" customHeight="1" thickTop="1" thickBot="1">
      <c r="A28" s="362" t="s">
        <v>1322</v>
      </c>
      <c r="B28" s="362" t="s">
        <v>1326</v>
      </c>
      <c r="C28" s="362" t="s">
        <v>1326</v>
      </c>
      <c r="D28" s="362" t="s">
        <v>1326</v>
      </c>
      <c r="E28" s="362" t="s">
        <v>1339</v>
      </c>
      <c r="F28" s="361" t="s">
        <v>1339</v>
      </c>
      <c r="G28" s="362" t="s">
        <v>1419</v>
      </c>
      <c r="H28" s="362"/>
      <c r="I28" s="362"/>
      <c r="J28" s="367" t="s">
        <v>1783</v>
      </c>
      <c r="K28" s="373"/>
      <c r="L28" s="373"/>
      <c r="M28" s="373"/>
      <c r="N28" s="368"/>
      <c r="O28" s="373"/>
      <c r="P28" s="373"/>
      <c r="Q28" s="373"/>
      <c r="R28" s="373"/>
      <c r="S28" s="368"/>
      <c r="T28" s="373"/>
      <c r="U28" s="374"/>
      <c r="V28" s="370"/>
      <c r="W28" s="370"/>
      <c r="X28" s="370"/>
      <c r="Y28" s="342"/>
    </row>
    <row r="29" spans="1:25" ht="22.5" customHeight="1" thickTop="1" thickBot="1">
      <c r="A29" s="362" t="s">
        <v>1322</v>
      </c>
      <c r="B29" s="362" t="s">
        <v>1326</v>
      </c>
      <c r="C29" s="362" t="s">
        <v>1326</v>
      </c>
      <c r="D29" s="362" t="s">
        <v>1326</v>
      </c>
      <c r="E29" s="362" t="s">
        <v>1339</v>
      </c>
      <c r="F29" s="361" t="s">
        <v>1339</v>
      </c>
      <c r="G29" s="362" t="s">
        <v>1423</v>
      </c>
      <c r="H29" s="362"/>
      <c r="I29" s="362"/>
      <c r="J29" s="367" t="s">
        <v>1780</v>
      </c>
      <c r="K29" s="373"/>
      <c r="L29" s="373"/>
      <c r="M29" s="373"/>
      <c r="N29" s="368"/>
      <c r="O29" s="373"/>
      <c r="P29" s="373"/>
      <c r="Q29" s="373"/>
      <c r="R29" s="373"/>
      <c r="S29" s="368"/>
      <c r="T29" s="373"/>
      <c r="U29" s="374"/>
      <c r="V29" s="370"/>
      <c r="W29" s="370"/>
      <c r="X29" s="370"/>
      <c r="Y29" s="342"/>
    </row>
    <row r="30" spans="1:25" ht="22.5" customHeight="1" thickTop="1" thickBot="1">
      <c r="A30" s="370" t="s">
        <v>1322</v>
      </c>
      <c r="B30" s="370" t="s">
        <v>1326</v>
      </c>
      <c r="C30" s="362" t="s">
        <v>1326</v>
      </c>
      <c r="D30" s="362" t="s">
        <v>1326</v>
      </c>
      <c r="E30" s="370" t="s">
        <v>1326</v>
      </c>
      <c r="F30" s="370" t="s">
        <v>1326</v>
      </c>
      <c r="G30" s="361" t="s">
        <v>1326</v>
      </c>
      <c r="H30" s="362"/>
      <c r="I30" s="362"/>
      <c r="J30" s="363" t="s">
        <v>1471</v>
      </c>
      <c r="K30" s="379"/>
      <c r="L30" s="379"/>
      <c r="M30" s="379"/>
      <c r="N30" s="379"/>
      <c r="O30" s="379"/>
      <c r="P30" s="379"/>
      <c r="Q30" s="379"/>
      <c r="R30" s="379"/>
      <c r="S30" s="379"/>
      <c r="T30" s="379"/>
      <c r="U30" s="365"/>
      <c r="V30" s="361"/>
      <c r="W30" s="370" t="s">
        <v>1472</v>
      </c>
      <c r="X30" s="370" t="s">
        <v>1473</v>
      </c>
      <c r="Y30" s="342" t="s">
        <v>1324</v>
      </c>
    </row>
    <row r="31" spans="1:25" ht="22.5" customHeight="1" thickTop="1" thickBot="1">
      <c r="A31" s="370" t="s">
        <v>1322</v>
      </c>
      <c r="B31" s="370" t="s">
        <v>1326</v>
      </c>
      <c r="C31" s="362" t="s">
        <v>1326</v>
      </c>
      <c r="D31" s="362" t="s">
        <v>1326</v>
      </c>
      <c r="E31" s="370" t="s">
        <v>1326</v>
      </c>
      <c r="F31" s="370" t="s">
        <v>1326</v>
      </c>
      <c r="G31" s="362" t="s">
        <v>1326</v>
      </c>
      <c r="H31" s="362" t="s">
        <v>1326</v>
      </c>
      <c r="I31" s="362"/>
      <c r="J31" s="367" t="s">
        <v>1474</v>
      </c>
      <c r="K31" s="380"/>
      <c r="L31" s="380"/>
      <c r="M31" s="380"/>
      <c r="N31" s="380"/>
      <c r="O31" s="380"/>
      <c r="P31" s="380"/>
      <c r="Q31" s="380"/>
      <c r="R31" s="380"/>
      <c r="S31" s="380"/>
      <c r="T31" s="380"/>
      <c r="U31" s="369"/>
      <c r="V31" s="361"/>
      <c r="W31" s="370"/>
      <c r="X31" s="370"/>
      <c r="Y31" s="342" t="s">
        <v>1324</v>
      </c>
    </row>
    <row r="32" spans="1:25" ht="22.5" customHeight="1" thickTop="1" thickBot="1">
      <c r="A32" s="370" t="s">
        <v>1322</v>
      </c>
      <c r="B32" s="370" t="s">
        <v>1326</v>
      </c>
      <c r="C32" s="362" t="s">
        <v>1326</v>
      </c>
      <c r="D32" s="362" t="s">
        <v>1326</v>
      </c>
      <c r="E32" s="370" t="s">
        <v>1326</v>
      </c>
      <c r="F32" s="370" t="s">
        <v>1326</v>
      </c>
      <c r="G32" s="362" t="s">
        <v>1326</v>
      </c>
      <c r="H32" s="362" t="s">
        <v>1339</v>
      </c>
      <c r="I32" s="362"/>
      <c r="J32" s="367" t="s">
        <v>1475</v>
      </c>
      <c r="K32" s="380"/>
      <c r="L32" s="380"/>
      <c r="M32" s="380"/>
      <c r="N32" s="380"/>
      <c r="O32" s="380"/>
      <c r="P32" s="380"/>
      <c r="Q32" s="380"/>
      <c r="R32" s="380"/>
      <c r="S32" s="380"/>
      <c r="T32" s="380"/>
      <c r="U32" s="369"/>
      <c r="V32" s="361"/>
      <c r="W32" s="370"/>
      <c r="X32" s="370"/>
      <c r="Y32" s="342" t="s">
        <v>1324</v>
      </c>
    </row>
    <row r="33" spans="1:25" ht="22.5" customHeight="1" thickTop="1" thickBot="1">
      <c r="A33" s="370" t="s">
        <v>1322</v>
      </c>
      <c r="B33" s="370" t="s">
        <v>1326</v>
      </c>
      <c r="C33" s="362" t="s">
        <v>1326</v>
      </c>
      <c r="D33" s="362" t="s">
        <v>1326</v>
      </c>
      <c r="E33" s="370" t="s">
        <v>1326</v>
      </c>
      <c r="F33" s="370" t="s">
        <v>1326</v>
      </c>
      <c r="G33" s="362" t="s">
        <v>1326</v>
      </c>
      <c r="H33" s="362" t="s">
        <v>1363</v>
      </c>
      <c r="I33" s="362"/>
      <c r="J33" s="367" t="s">
        <v>1759</v>
      </c>
      <c r="K33" s="380"/>
      <c r="L33" s="380"/>
      <c r="M33" s="380"/>
      <c r="N33" s="380"/>
      <c r="O33" s="380"/>
      <c r="P33" s="380"/>
      <c r="Q33" s="380"/>
      <c r="R33" s="380"/>
      <c r="S33" s="380"/>
      <c r="T33" s="380"/>
      <c r="U33" s="369"/>
      <c r="V33" s="361"/>
      <c r="W33" s="370"/>
      <c r="X33" s="370"/>
      <c r="Y33" s="342"/>
    </row>
    <row r="34" spans="1:25" ht="22.5" customHeight="1" thickTop="1" thickBot="1">
      <c r="A34" s="370" t="s">
        <v>1322</v>
      </c>
      <c r="B34" s="370" t="s">
        <v>1326</v>
      </c>
      <c r="C34" s="362" t="s">
        <v>1326</v>
      </c>
      <c r="D34" s="362" t="s">
        <v>1326</v>
      </c>
      <c r="E34" s="370" t="s">
        <v>1326</v>
      </c>
      <c r="F34" s="370" t="s">
        <v>1326</v>
      </c>
      <c r="G34" s="362" t="s">
        <v>1326</v>
      </c>
      <c r="H34" s="362" t="s">
        <v>1367</v>
      </c>
      <c r="I34" s="362"/>
      <c r="J34" s="367" t="s">
        <v>1760</v>
      </c>
      <c r="K34" s="380"/>
      <c r="L34" s="380"/>
      <c r="M34" s="380"/>
      <c r="N34" s="380"/>
      <c r="O34" s="380"/>
      <c r="P34" s="380"/>
      <c r="Q34" s="380"/>
      <c r="R34" s="380"/>
      <c r="S34" s="380"/>
      <c r="T34" s="380"/>
      <c r="U34" s="369"/>
      <c r="V34" s="361"/>
      <c r="W34" s="370"/>
      <c r="X34" s="370"/>
      <c r="Y34" s="342"/>
    </row>
    <row r="35" spans="1:25" ht="22.5" customHeight="1" thickTop="1" thickBot="1">
      <c r="A35" s="370" t="s">
        <v>1322</v>
      </c>
      <c r="B35" s="370" t="s">
        <v>1326</v>
      </c>
      <c r="C35" s="362" t="s">
        <v>1326</v>
      </c>
      <c r="D35" s="362" t="s">
        <v>1326</v>
      </c>
      <c r="E35" s="370" t="s">
        <v>1326</v>
      </c>
      <c r="F35" s="370" t="s">
        <v>1326</v>
      </c>
      <c r="G35" s="362" t="s">
        <v>1326</v>
      </c>
      <c r="H35" s="362" t="s">
        <v>1392</v>
      </c>
      <c r="I35" s="362"/>
      <c r="J35" s="367" t="s">
        <v>1761</v>
      </c>
      <c r="K35" s="380"/>
      <c r="L35" s="380"/>
      <c r="M35" s="380"/>
      <c r="N35" s="380"/>
      <c r="O35" s="380"/>
      <c r="P35" s="380"/>
      <c r="Q35" s="380"/>
      <c r="R35" s="380"/>
      <c r="S35" s="380"/>
      <c r="T35" s="380"/>
      <c r="U35" s="369"/>
      <c r="V35" s="361"/>
      <c r="W35" s="370"/>
      <c r="X35" s="370"/>
      <c r="Y35" s="342"/>
    </row>
    <row r="36" spans="1:25" ht="22.5" customHeight="1" thickTop="1" thickBot="1">
      <c r="A36" s="370" t="s">
        <v>1322</v>
      </c>
      <c r="B36" s="370" t="s">
        <v>1326</v>
      </c>
      <c r="C36" s="362" t="s">
        <v>1326</v>
      </c>
      <c r="D36" s="362" t="s">
        <v>1326</v>
      </c>
      <c r="E36" s="370" t="s">
        <v>1326</v>
      </c>
      <c r="F36" s="370" t="s">
        <v>1326</v>
      </c>
      <c r="G36" s="362" t="s">
        <v>1326</v>
      </c>
      <c r="H36" s="362" t="s">
        <v>1415</v>
      </c>
      <c r="I36" s="362"/>
      <c r="J36" s="367" t="s">
        <v>1762</v>
      </c>
      <c r="K36" s="380"/>
      <c r="L36" s="380"/>
      <c r="M36" s="380"/>
      <c r="N36" s="380"/>
      <c r="O36" s="380"/>
      <c r="P36" s="380"/>
      <c r="Q36" s="380"/>
      <c r="R36" s="380"/>
      <c r="S36" s="380"/>
      <c r="T36" s="380"/>
      <c r="U36" s="369"/>
      <c r="V36" s="361"/>
      <c r="W36" s="370"/>
      <c r="X36" s="370"/>
      <c r="Y36" s="342"/>
    </row>
    <row r="37" spans="1:25" ht="22.5" customHeight="1" thickTop="1" thickBot="1">
      <c r="A37" s="370" t="s">
        <v>1322</v>
      </c>
      <c r="B37" s="370" t="s">
        <v>1326</v>
      </c>
      <c r="C37" s="362" t="s">
        <v>1326</v>
      </c>
      <c r="D37" s="362" t="s">
        <v>1326</v>
      </c>
      <c r="E37" s="370" t="s">
        <v>1326</v>
      </c>
      <c r="F37" s="370" t="s">
        <v>1326</v>
      </c>
      <c r="G37" s="362" t="s">
        <v>1326</v>
      </c>
      <c r="H37" s="362" t="s">
        <v>1419</v>
      </c>
      <c r="I37" s="362"/>
      <c r="J37" s="367" t="s">
        <v>1763</v>
      </c>
      <c r="K37" s="380"/>
      <c r="L37" s="380"/>
      <c r="M37" s="380"/>
      <c r="N37" s="380"/>
      <c r="O37" s="380"/>
      <c r="P37" s="380"/>
      <c r="Q37" s="380"/>
      <c r="R37" s="380"/>
      <c r="S37" s="380"/>
      <c r="T37" s="380"/>
      <c r="U37" s="369"/>
      <c r="V37" s="361"/>
      <c r="W37" s="370"/>
      <c r="X37" s="370"/>
      <c r="Y37" s="342"/>
    </row>
    <row r="38" spans="1:25" ht="22.5" customHeight="1" thickTop="1" thickBot="1">
      <c r="A38" s="370" t="s">
        <v>1322</v>
      </c>
      <c r="B38" s="370" t="s">
        <v>1326</v>
      </c>
      <c r="C38" s="362" t="s">
        <v>1326</v>
      </c>
      <c r="D38" s="362" t="s">
        <v>1326</v>
      </c>
      <c r="E38" s="370" t="s">
        <v>1326</v>
      </c>
      <c r="F38" s="370" t="s">
        <v>1326</v>
      </c>
      <c r="G38" s="362" t="s">
        <v>1326</v>
      </c>
      <c r="H38" s="362" t="s">
        <v>1423</v>
      </c>
      <c r="I38" s="362"/>
      <c r="J38" s="367" t="s">
        <v>1760</v>
      </c>
      <c r="K38" s="380"/>
      <c r="L38" s="380"/>
      <c r="M38" s="380"/>
      <c r="N38" s="380"/>
      <c r="O38" s="380"/>
      <c r="P38" s="380"/>
      <c r="Q38" s="380"/>
      <c r="R38" s="380"/>
      <c r="S38" s="380"/>
      <c r="T38" s="380"/>
      <c r="U38" s="369"/>
      <c r="V38" s="361"/>
      <c r="W38" s="370"/>
      <c r="X38" s="370"/>
      <c r="Y38" s="342"/>
    </row>
    <row r="39" spans="1:25" ht="22.5" customHeight="1" thickTop="1" thickBot="1">
      <c r="A39" s="370" t="s">
        <v>1322</v>
      </c>
      <c r="B39" s="370" t="s">
        <v>1326</v>
      </c>
      <c r="C39" s="362" t="s">
        <v>1326</v>
      </c>
      <c r="D39" s="362" t="s">
        <v>1326</v>
      </c>
      <c r="E39" s="370" t="s">
        <v>1326</v>
      </c>
      <c r="F39" s="370" t="s">
        <v>1326</v>
      </c>
      <c r="G39" s="361" t="s">
        <v>1339</v>
      </c>
      <c r="H39" s="362"/>
      <c r="I39" s="362"/>
      <c r="J39" s="363" t="s">
        <v>1476</v>
      </c>
      <c r="K39" s="379"/>
      <c r="L39" s="379"/>
      <c r="M39" s="379"/>
      <c r="N39" s="379"/>
      <c r="O39" s="379"/>
      <c r="P39" s="379"/>
      <c r="Q39" s="379"/>
      <c r="R39" s="379"/>
      <c r="S39" s="379"/>
      <c r="T39" s="379"/>
      <c r="U39" s="365"/>
      <c r="V39" s="361"/>
      <c r="W39" s="370"/>
      <c r="X39" s="370"/>
      <c r="Y39" s="342"/>
    </row>
    <row r="40" spans="1:25" ht="22.5" customHeight="1" thickTop="1" thickBot="1">
      <c r="A40" s="370" t="s">
        <v>1322</v>
      </c>
      <c r="B40" s="370" t="s">
        <v>1326</v>
      </c>
      <c r="C40" s="362" t="s">
        <v>1326</v>
      </c>
      <c r="D40" s="362" t="s">
        <v>1326</v>
      </c>
      <c r="E40" s="370" t="s">
        <v>1326</v>
      </c>
      <c r="F40" s="370" t="s">
        <v>1326</v>
      </c>
      <c r="G40" s="362" t="s">
        <v>1339</v>
      </c>
      <c r="H40" s="362" t="s">
        <v>1326</v>
      </c>
      <c r="I40" s="362"/>
      <c r="J40" s="367" t="s">
        <v>1477</v>
      </c>
      <c r="K40" s="380"/>
      <c r="L40" s="380"/>
      <c r="M40" s="380"/>
      <c r="N40" s="380"/>
      <c r="O40" s="380"/>
      <c r="P40" s="380"/>
      <c r="Q40" s="380"/>
      <c r="R40" s="380"/>
      <c r="S40" s="380"/>
      <c r="T40" s="380"/>
      <c r="U40" s="369"/>
      <c r="V40" s="361"/>
      <c r="W40" s="370"/>
      <c r="X40" s="370"/>
      <c r="Y40" s="342"/>
    </row>
    <row r="41" spans="1:25" ht="22.5" customHeight="1" thickTop="1" thickBot="1">
      <c r="A41" s="370" t="s">
        <v>1322</v>
      </c>
      <c r="B41" s="370" t="s">
        <v>1326</v>
      </c>
      <c r="C41" s="362" t="s">
        <v>1326</v>
      </c>
      <c r="D41" s="362" t="s">
        <v>1326</v>
      </c>
      <c r="E41" s="370" t="s">
        <v>1326</v>
      </c>
      <c r="F41" s="370" t="s">
        <v>1326</v>
      </c>
      <c r="G41" s="362" t="s">
        <v>1339</v>
      </c>
      <c r="H41" s="362" t="s">
        <v>1339</v>
      </c>
      <c r="I41" s="362"/>
      <c r="J41" s="367" t="s">
        <v>1478</v>
      </c>
      <c r="K41" s="380"/>
      <c r="L41" s="380"/>
      <c r="M41" s="380"/>
      <c r="N41" s="380"/>
      <c r="O41" s="380"/>
      <c r="P41" s="380"/>
      <c r="Q41" s="380"/>
      <c r="R41" s="380"/>
      <c r="S41" s="380"/>
      <c r="T41" s="380"/>
      <c r="U41" s="369"/>
      <c r="V41" s="361"/>
      <c r="W41" s="370"/>
      <c r="X41" s="370"/>
      <c r="Y41" s="342"/>
    </row>
    <row r="42" spans="1:25" ht="22.5" customHeight="1" thickTop="1" thickBot="1">
      <c r="A42" s="370" t="s">
        <v>1322</v>
      </c>
      <c r="B42" s="370" t="s">
        <v>1326</v>
      </c>
      <c r="C42" s="362" t="s">
        <v>1326</v>
      </c>
      <c r="D42" s="362" t="s">
        <v>1326</v>
      </c>
      <c r="E42" s="370" t="s">
        <v>1326</v>
      </c>
      <c r="F42" s="370" t="s">
        <v>1326</v>
      </c>
      <c r="G42" s="362" t="s">
        <v>1339</v>
      </c>
      <c r="H42" s="362" t="s">
        <v>1363</v>
      </c>
      <c r="I42" s="362"/>
      <c r="J42" s="367" t="s">
        <v>1764</v>
      </c>
      <c r="K42" s="380"/>
      <c r="L42" s="380"/>
      <c r="M42" s="380"/>
      <c r="N42" s="380"/>
      <c r="O42" s="380"/>
      <c r="P42" s="380"/>
      <c r="Q42" s="380"/>
      <c r="R42" s="380"/>
      <c r="S42" s="380"/>
      <c r="T42" s="380"/>
      <c r="U42" s="369"/>
      <c r="V42" s="361"/>
      <c r="W42" s="370"/>
      <c r="X42" s="370"/>
      <c r="Y42" s="342"/>
    </row>
    <row r="43" spans="1:25" ht="22.5" customHeight="1" thickTop="1" thickBot="1">
      <c r="A43" s="370" t="s">
        <v>1322</v>
      </c>
      <c r="B43" s="370" t="s">
        <v>1326</v>
      </c>
      <c r="C43" s="362" t="s">
        <v>1326</v>
      </c>
      <c r="D43" s="362" t="s">
        <v>1326</v>
      </c>
      <c r="E43" s="370" t="s">
        <v>1326</v>
      </c>
      <c r="F43" s="370" t="s">
        <v>1326</v>
      </c>
      <c r="G43" s="362" t="s">
        <v>1339</v>
      </c>
      <c r="H43" s="362" t="s">
        <v>1367</v>
      </c>
      <c r="I43" s="362"/>
      <c r="J43" s="367" t="s">
        <v>1765</v>
      </c>
      <c r="K43" s="380"/>
      <c r="L43" s="380"/>
      <c r="M43" s="380"/>
      <c r="N43" s="380"/>
      <c r="O43" s="380"/>
      <c r="P43" s="380"/>
      <c r="Q43" s="380"/>
      <c r="R43" s="380"/>
      <c r="S43" s="380"/>
      <c r="T43" s="380"/>
      <c r="U43" s="369"/>
      <c r="V43" s="361"/>
      <c r="W43" s="370"/>
      <c r="X43" s="370"/>
      <c r="Y43" s="342"/>
    </row>
    <row r="44" spans="1:25" ht="22.5" customHeight="1" thickTop="1" thickBot="1">
      <c r="A44" s="370" t="s">
        <v>1322</v>
      </c>
      <c r="B44" s="370" t="s">
        <v>1326</v>
      </c>
      <c r="C44" s="362" t="s">
        <v>1326</v>
      </c>
      <c r="D44" s="362" t="s">
        <v>1326</v>
      </c>
      <c r="E44" s="370" t="s">
        <v>1326</v>
      </c>
      <c r="F44" s="370" t="s">
        <v>1326</v>
      </c>
      <c r="G44" s="362" t="s">
        <v>1339</v>
      </c>
      <c r="H44" s="362" t="s">
        <v>1392</v>
      </c>
      <c r="I44" s="362"/>
      <c r="J44" s="367" t="s">
        <v>1766</v>
      </c>
      <c r="K44" s="380"/>
      <c r="L44" s="380"/>
      <c r="M44" s="380"/>
      <c r="N44" s="380"/>
      <c r="O44" s="380"/>
      <c r="P44" s="380"/>
      <c r="Q44" s="380"/>
      <c r="R44" s="380"/>
      <c r="S44" s="380"/>
      <c r="T44" s="380"/>
      <c r="U44" s="369"/>
      <c r="V44" s="361"/>
      <c r="W44" s="370"/>
      <c r="X44" s="370"/>
      <c r="Y44" s="342"/>
    </row>
    <row r="45" spans="1:25" ht="22.5" customHeight="1" thickTop="1" thickBot="1">
      <c r="A45" s="370" t="s">
        <v>1322</v>
      </c>
      <c r="B45" s="370" t="s">
        <v>1326</v>
      </c>
      <c r="C45" s="362" t="s">
        <v>1326</v>
      </c>
      <c r="D45" s="362" t="s">
        <v>1326</v>
      </c>
      <c r="E45" s="370" t="s">
        <v>1326</v>
      </c>
      <c r="F45" s="370" t="s">
        <v>1326</v>
      </c>
      <c r="G45" s="362" t="s">
        <v>1339</v>
      </c>
      <c r="H45" s="362" t="s">
        <v>1415</v>
      </c>
      <c r="I45" s="362"/>
      <c r="J45" s="367" t="s">
        <v>1767</v>
      </c>
      <c r="K45" s="380"/>
      <c r="L45" s="380"/>
      <c r="M45" s="380"/>
      <c r="N45" s="380"/>
      <c r="O45" s="380"/>
      <c r="P45" s="380"/>
      <c r="Q45" s="380"/>
      <c r="R45" s="380"/>
      <c r="S45" s="380"/>
      <c r="T45" s="380"/>
      <c r="U45" s="369"/>
      <c r="V45" s="361"/>
      <c r="W45" s="370"/>
      <c r="X45" s="370"/>
      <c r="Y45" s="342"/>
    </row>
    <row r="46" spans="1:25" ht="22.5" customHeight="1" thickTop="1" thickBot="1">
      <c r="A46" s="370" t="s">
        <v>1322</v>
      </c>
      <c r="B46" s="370" t="s">
        <v>1326</v>
      </c>
      <c r="C46" s="362" t="s">
        <v>1326</v>
      </c>
      <c r="D46" s="362" t="s">
        <v>1326</v>
      </c>
      <c r="E46" s="370" t="s">
        <v>1326</v>
      </c>
      <c r="F46" s="370" t="s">
        <v>1326</v>
      </c>
      <c r="G46" s="362" t="s">
        <v>1339</v>
      </c>
      <c r="H46" s="362" t="s">
        <v>1419</v>
      </c>
      <c r="I46" s="362"/>
      <c r="J46" s="367" t="s">
        <v>1768</v>
      </c>
      <c r="K46" s="380"/>
      <c r="L46" s="380"/>
      <c r="M46" s="380"/>
      <c r="N46" s="380"/>
      <c r="O46" s="380"/>
      <c r="P46" s="380"/>
      <c r="Q46" s="380"/>
      <c r="R46" s="380"/>
      <c r="S46" s="380"/>
      <c r="T46" s="380"/>
      <c r="U46" s="369"/>
      <c r="V46" s="361"/>
      <c r="W46" s="370"/>
      <c r="X46" s="370"/>
      <c r="Y46" s="342"/>
    </row>
    <row r="47" spans="1:25" ht="22.5" customHeight="1" thickTop="1" thickBot="1">
      <c r="A47" s="370" t="s">
        <v>1322</v>
      </c>
      <c r="B47" s="370" t="s">
        <v>1326</v>
      </c>
      <c r="C47" s="362" t="s">
        <v>1326</v>
      </c>
      <c r="D47" s="362" t="s">
        <v>1326</v>
      </c>
      <c r="E47" s="370" t="s">
        <v>1326</v>
      </c>
      <c r="F47" s="370" t="s">
        <v>1326</v>
      </c>
      <c r="G47" s="362" t="s">
        <v>1339</v>
      </c>
      <c r="H47" s="362" t="s">
        <v>1423</v>
      </c>
      <c r="I47" s="362"/>
      <c r="J47" s="367" t="s">
        <v>1765</v>
      </c>
      <c r="K47" s="380"/>
      <c r="L47" s="380"/>
      <c r="M47" s="380"/>
      <c r="N47" s="380"/>
      <c r="O47" s="380"/>
      <c r="P47" s="380"/>
      <c r="Q47" s="380"/>
      <c r="R47" s="380"/>
      <c r="S47" s="380"/>
      <c r="T47" s="380"/>
      <c r="U47" s="369"/>
      <c r="V47" s="361"/>
      <c r="W47" s="370"/>
      <c r="X47" s="370"/>
      <c r="Y47" s="342"/>
    </row>
    <row r="48" spans="1:25" ht="22.5" customHeight="1" thickTop="1" thickBot="1">
      <c r="A48" s="370" t="s">
        <v>1322</v>
      </c>
      <c r="B48" s="370" t="s">
        <v>1326</v>
      </c>
      <c r="C48" s="362" t="s">
        <v>1326</v>
      </c>
      <c r="D48" s="362" t="s">
        <v>1326</v>
      </c>
      <c r="E48" s="370" t="s">
        <v>1326</v>
      </c>
      <c r="F48" s="370" t="s">
        <v>1326</v>
      </c>
      <c r="G48" s="361" t="s">
        <v>1363</v>
      </c>
      <c r="H48" s="362"/>
      <c r="I48" s="362"/>
      <c r="J48" s="363" t="s">
        <v>1479</v>
      </c>
      <c r="K48" s="379"/>
      <c r="L48" s="379"/>
      <c r="M48" s="379"/>
      <c r="N48" s="379"/>
      <c r="O48" s="379"/>
      <c r="P48" s="379"/>
      <c r="Q48" s="379"/>
      <c r="R48" s="379"/>
      <c r="S48" s="379"/>
      <c r="T48" s="379"/>
      <c r="U48" s="365"/>
      <c r="V48" s="361"/>
      <c r="W48" s="370" t="s">
        <v>1342</v>
      </c>
      <c r="X48" s="370" t="s">
        <v>1343</v>
      </c>
      <c r="Y48" s="342" t="s">
        <v>1324</v>
      </c>
    </row>
    <row r="49" spans="1:25" ht="22.5" customHeight="1" thickTop="1" thickBot="1">
      <c r="A49" s="370" t="s">
        <v>1322</v>
      </c>
      <c r="B49" s="370" t="s">
        <v>1326</v>
      </c>
      <c r="C49" s="362" t="s">
        <v>1326</v>
      </c>
      <c r="D49" s="362" t="s">
        <v>1326</v>
      </c>
      <c r="E49" s="370" t="s">
        <v>1326</v>
      </c>
      <c r="F49" s="370" t="s">
        <v>1326</v>
      </c>
      <c r="G49" s="362" t="s">
        <v>1363</v>
      </c>
      <c r="H49" s="362" t="s">
        <v>1326</v>
      </c>
      <c r="I49" s="362"/>
      <c r="J49" s="367" t="s">
        <v>1480</v>
      </c>
      <c r="K49" s="380"/>
      <c r="L49" s="380"/>
      <c r="M49" s="380"/>
      <c r="N49" s="380"/>
      <c r="O49" s="380"/>
      <c r="P49" s="380"/>
      <c r="Q49" s="380"/>
      <c r="R49" s="380"/>
      <c r="S49" s="380"/>
      <c r="T49" s="380"/>
      <c r="U49" s="369"/>
      <c r="V49" s="361"/>
      <c r="W49" s="370"/>
      <c r="X49" s="370"/>
      <c r="Y49" s="342" t="s">
        <v>1324</v>
      </c>
    </row>
    <row r="50" spans="1:25" ht="22.5" customHeight="1" thickTop="1" thickBot="1">
      <c r="A50" s="370" t="s">
        <v>1322</v>
      </c>
      <c r="B50" s="370" t="s">
        <v>1326</v>
      </c>
      <c r="C50" s="362" t="s">
        <v>1326</v>
      </c>
      <c r="D50" s="362" t="s">
        <v>1326</v>
      </c>
      <c r="E50" s="370" t="s">
        <v>1326</v>
      </c>
      <c r="F50" s="370" t="s">
        <v>1326</v>
      </c>
      <c r="G50" s="362" t="s">
        <v>1363</v>
      </c>
      <c r="H50" s="362" t="s">
        <v>1339</v>
      </c>
      <c r="I50" s="362"/>
      <c r="J50" s="367" t="s">
        <v>1481</v>
      </c>
      <c r="K50" s="380"/>
      <c r="L50" s="380"/>
      <c r="M50" s="380"/>
      <c r="N50" s="380"/>
      <c r="O50" s="380"/>
      <c r="P50" s="380"/>
      <c r="Q50" s="380"/>
      <c r="R50" s="380"/>
      <c r="S50" s="380"/>
      <c r="T50" s="380"/>
      <c r="U50" s="369"/>
      <c r="V50" s="361"/>
      <c r="W50" s="370"/>
      <c r="X50" s="370"/>
      <c r="Y50" s="342" t="s">
        <v>1324</v>
      </c>
    </row>
    <row r="51" spans="1:25" ht="22.5" customHeight="1" thickTop="1" thickBot="1">
      <c r="A51" s="370" t="s">
        <v>1322</v>
      </c>
      <c r="B51" s="370" t="s">
        <v>1326</v>
      </c>
      <c r="C51" s="362" t="s">
        <v>1326</v>
      </c>
      <c r="D51" s="362" t="s">
        <v>1326</v>
      </c>
      <c r="E51" s="370" t="s">
        <v>1326</v>
      </c>
      <c r="F51" s="370" t="s">
        <v>1326</v>
      </c>
      <c r="G51" s="362" t="s">
        <v>1363</v>
      </c>
      <c r="H51" s="362" t="s">
        <v>1363</v>
      </c>
      <c r="I51" s="362"/>
      <c r="J51" s="367" t="s">
        <v>1769</v>
      </c>
      <c r="K51" s="380"/>
      <c r="L51" s="380"/>
      <c r="M51" s="380"/>
      <c r="N51" s="380"/>
      <c r="O51" s="380"/>
      <c r="P51" s="380"/>
      <c r="Q51" s="380"/>
      <c r="R51" s="380"/>
      <c r="S51" s="380"/>
      <c r="T51" s="380"/>
      <c r="U51" s="369"/>
      <c r="V51" s="361"/>
      <c r="W51" s="370"/>
      <c r="X51" s="370"/>
      <c r="Y51" s="342"/>
    </row>
    <row r="52" spans="1:25" ht="22.5" customHeight="1" thickTop="1" thickBot="1">
      <c r="A52" s="370" t="s">
        <v>1322</v>
      </c>
      <c r="B52" s="370" t="s">
        <v>1326</v>
      </c>
      <c r="C52" s="362" t="s">
        <v>1326</v>
      </c>
      <c r="D52" s="362" t="s">
        <v>1326</v>
      </c>
      <c r="E52" s="370" t="s">
        <v>1326</v>
      </c>
      <c r="F52" s="370" t="s">
        <v>1326</v>
      </c>
      <c r="G52" s="362" t="s">
        <v>1363</v>
      </c>
      <c r="H52" s="362" t="s">
        <v>1367</v>
      </c>
      <c r="I52" s="362"/>
      <c r="J52" s="367" t="s">
        <v>1770</v>
      </c>
      <c r="K52" s="380"/>
      <c r="L52" s="380"/>
      <c r="M52" s="380"/>
      <c r="N52" s="380"/>
      <c r="O52" s="380"/>
      <c r="P52" s="380"/>
      <c r="Q52" s="380"/>
      <c r="R52" s="380"/>
      <c r="S52" s="380"/>
      <c r="T52" s="380"/>
      <c r="U52" s="369"/>
      <c r="V52" s="361"/>
      <c r="W52" s="370"/>
      <c r="X52" s="370"/>
      <c r="Y52" s="342"/>
    </row>
    <row r="53" spans="1:25" ht="22.5" customHeight="1" thickTop="1" thickBot="1">
      <c r="A53" s="370" t="s">
        <v>1322</v>
      </c>
      <c r="B53" s="370" t="s">
        <v>1326</v>
      </c>
      <c r="C53" s="362" t="s">
        <v>1326</v>
      </c>
      <c r="D53" s="362" t="s">
        <v>1326</v>
      </c>
      <c r="E53" s="370" t="s">
        <v>1326</v>
      </c>
      <c r="F53" s="370" t="s">
        <v>1326</v>
      </c>
      <c r="G53" s="362" t="s">
        <v>1363</v>
      </c>
      <c r="H53" s="362" t="s">
        <v>1392</v>
      </c>
      <c r="I53" s="362"/>
      <c r="J53" s="367" t="s">
        <v>1771</v>
      </c>
      <c r="K53" s="380"/>
      <c r="L53" s="380"/>
      <c r="M53" s="380"/>
      <c r="N53" s="380"/>
      <c r="O53" s="380"/>
      <c r="P53" s="380"/>
      <c r="Q53" s="380"/>
      <c r="R53" s="380"/>
      <c r="S53" s="380"/>
      <c r="T53" s="380"/>
      <c r="U53" s="369"/>
      <c r="V53" s="361"/>
      <c r="W53" s="370"/>
      <c r="X53" s="370"/>
      <c r="Y53" s="342"/>
    </row>
    <row r="54" spans="1:25" ht="22.5" customHeight="1" thickTop="1" thickBot="1">
      <c r="A54" s="370" t="s">
        <v>1322</v>
      </c>
      <c r="B54" s="370" t="s">
        <v>1326</v>
      </c>
      <c r="C54" s="362" t="s">
        <v>1326</v>
      </c>
      <c r="D54" s="362" t="s">
        <v>1326</v>
      </c>
      <c r="E54" s="370" t="s">
        <v>1326</v>
      </c>
      <c r="F54" s="370" t="s">
        <v>1326</v>
      </c>
      <c r="G54" s="362" t="s">
        <v>1363</v>
      </c>
      <c r="H54" s="362" t="s">
        <v>1415</v>
      </c>
      <c r="I54" s="362"/>
      <c r="J54" s="367" t="s">
        <v>1772</v>
      </c>
      <c r="K54" s="380"/>
      <c r="L54" s="380"/>
      <c r="M54" s="380"/>
      <c r="N54" s="380"/>
      <c r="O54" s="380"/>
      <c r="P54" s="380"/>
      <c r="Q54" s="380"/>
      <c r="R54" s="380"/>
      <c r="S54" s="380"/>
      <c r="T54" s="380"/>
      <c r="U54" s="369"/>
      <c r="V54" s="361"/>
      <c r="W54" s="370"/>
      <c r="X54" s="370"/>
      <c r="Y54" s="342"/>
    </row>
    <row r="55" spans="1:25" ht="22.5" customHeight="1" thickTop="1" thickBot="1">
      <c r="A55" s="370" t="s">
        <v>1322</v>
      </c>
      <c r="B55" s="370" t="s">
        <v>1326</v>
      </c>
      <c r="C55" s="362" t="s">
        <v>1326</v>
      </c>
      <c r="D55" s="362" t="s">
        <v>1326</v>
      </c>
      <c r="E55" s="370" t="s">
        <v>1326</v>
      </c>
      <c r="F55" s="370" t="s">
        <v>1326</v>
      </c>
      <c r="G55" s="362" t="s">
        <v>1363</v>
      </c>
      <c r="H55" s="362" t="s">
        <v>1419</v>
      </c>
      <c r="I55" s="362"/>
      <c r="J55" s="367" t="s">
        <v>1773</v>
      </c>
      <c r="K55" s="380"/>
      <c r="L55" s="380"/>
      <c r="M55" s="380"/>
      <c r="N55" s="380"/>
      <c r="O55" s="380"/>
      <c r="P55" s="380"/>
      <c r="Q55" s="380"/>
      <c r="R55" s="380"/>
      <c r="S55" s="380"/>
      <c r="T55" s="380"/>
      <c r="U55" s="369"/>
      <c r="V55" s="361"/>
      <c r="W55" s="370"/>
      <c r="X55" s="370"/>
      <c r="Y55" s="342"/>
    </row>
    <row r="56" spans="1:25" ht="22.5" customHeight="1" thickTop="1" thickBot="1">
      <c r="A56" s="370" t="s">
        <v>1322</v>
      </c>
      <c r="B56" s="370" t="s">
        <v>1326</v>
      </c>
      <c r="C56" s="362" t="s">
        <v>1326</v>
      </c>
      <c r="D56" s="362" t="s">
        <v>1326</v>
      </c>
      <c r="E56" s="370" t="s">
        <v>1326</v>
      </c>
      <c r="F56" s="370" t="s">
        <v>1326</v>
      </c>
      <c r="G56" s="362" t="s">
        <v>1363</v>
      </c>
      <c r="H56" s="362" t="s">
        <v>1423</v>
      </c>
      <c r="I56" s="362"/>
      <c r="J56" s="367" t="s">
        <v>1770</v>
      </c>
      <c r="K56" s="380"/>
      <c r="L56" s="380"/>
      <c r="M56" s="380"/>
      <c r="N56" s="380"/>
      <c r="O56" s="380"/>
      <c r="P56" s="380"/>
      <c r="Q56" s="380"/>
      <c r="R56" s="380"/>
      <c r="S56" s="380"/>
      <c r="T56" s="380"/>
      <c r="U56" s="369"/>
      <c r="V56" s="361"/>
      <c r="W56" s="370"/>
      <c r="X56" s="370"/>
      <c r="Y56" s="342"/>
    </row>
    <row r="57" spans="1:25" ht="22.5" customHeight="1" thickTop="1" thickBot="1">
      <c r="A57" s="370" t="s">
        <v>1322</v>
      </c>
      <c r="B57" s="370" t="s">
        <v>1326</v>
      </c>
      <c r="C57" s="362" t="s">
        <v>1326</v>
      </c>
      <c r="D57" s="362" t="s">
        <v>1326</v>
      </c>
      <c r="E57" s="370" t="s">
        <v>1326</v>
      </c>
      <c r="F57" s="370" t="s">
        <v>1326</v>
      </c>
      <c r="G57" s="361" t="s">
        <v>1367</v>
      </c>
      <c r="H57" s="362"/>
      <c r="I57" s="362"/>
      <c r="J57" s="363" t="s">
        <v>1482</v>
      </c>
      <c r="K57" s="379"/>
      <c r="L57" s="379"/>
      <c r="M57" s="379"/>
      <c r="N57" s="379"/>
      <c r="O57" s="379"/>
      <c r="P57" s="379"/>
      <c r="Q57" s="379"/>
      <c r="R57" s="379"/>
      <c r="S57" s="379"/>
      <c r="T57" s="379"/>
      <c r="U57" s="365"/>
      <c r="V57" s="361"/>
      <c r="W57" s="370"/>
      <c r="X57" s="370"/>
      <c r="Y57" s="342"/>
    </row>
    <row r="58" spans="1:25" ht="22.5" customHeight="1" thickTop="1" thickBot="1">
      <c r="A58" s="370" t="s">
        <v>1322</v>
      </c>
      <c r="B58" s="370" t="s">
        <v>1326</v>
      </c>
      <c r="C58" s="362" t="s">
        <v>1326</v>
      </c>
      <c r="D58" s="362" t="s">
        <v>1326</v>
      </c>
      <c r="E58" s="370" t="s">
        <v>1326</v>
      </c>
      <c r="F58" s="370" t="s">
        <v>1326</v>
      </c>
      <c r="G58" s="362" t="s">
        <v>1367</v>
      </c>
      <c r="H58" s="362" t="s">
        <v>1326</v>
      </c>
      <c r="I58" s="362"/>
      <c r="J58" s="367" t="s">
        <v>1483</v>
      </c>
      <c r="K58" s="380"/>
      <c r="L58" s="380"/>
      <c r="M58" s="380"/>
      <c r="N58" s="380"/>
      <c r="O58" s="380"/>
      <c r="P58" s="380"/>
      <c r="Q58" s="380"/>
      <c r="R58" s="380"/>
      <c r="S58" s="380"/>
      <c r="T58" s="380"/>
      <c r="U58" s="369"/>
      <c r="V58" s="361"/>
      <c r="W58" s="370"/>
      <c r="X58" s="370"/>
      <c r="Y58" s="342"/>
    </row>
    <row r="59" spans="1:25" ht="22.5" customHeight="1" thickTop="1" thickBot="1">
      <c r="A59" s="370" t="s">
        <v>1322</v>
      </c>
      <c r="B59" s="370" t="s">
        <v>1326</v>
      </c>
      <c r="C59" s="362" t="s">
        <v>1326</v>
      </c>
      <c r="D59" s="362" t="s">
        <v>1326</v>
      </c>
      <c r="E59" s="370" t="s">
        <v>1326</v>
      </c>
      <c r="F59" s="370" t="s">
        <v>1326</v>
      </c>
      <c r="G59" s="362" t="s">
        <v>1367</v>
      </c>
      <c r="H59" s="362" t="s">
        <v>1339</v>
      </c>
      <c r="I59" s="362"/>
      <c r="J59" s="367" t="s">
        <v>1484</v>
      </c>
      <c r="K59" s="380"/>
      <c r="L59" s="380"/>
      <c r="M59" s="380"/>
      <c r="N59" s="380"/>
      <c r="O59" s="380"/>
      <c r="P59" s="380"/>
      <c r="Q59" s="380"/>
      <c r="R59" s="380"/>
      <c r="S59" s="380"/>
      <c r="T59" s="380"/>
      <c r="U59" s="369"/>
      <c r="V59" s="361"/>
      <c r="W59" s="370"/>
      <c r="X59" s="370"/>
      <c r="Y59" s="342"/>
    </row>
    <row r="60" spans="1:25" ht="22.5" customHeight="1" thickTop="1" thickBot="1">
      <c r="A60" s="370" t="s">
        <v>1322</v>
      </c>
      <c r="B60" s="370" t="s">
        <v>1326</v>
      </c>
      <c r="C60" s="362" t="s">
        <v>1326</v>
      </c>
      <c r="D60" s="362" t="s">
        <v>1326</v>
      </c>
      <c r="E60" s="370" t="s">
        <v>1326</v>
      </c>
      <c r="F60" s="370" t="s">
        <v>1326</v>
      </c>
      <c r="G60" s="362" t="s">
        <v>1367</v>
      </c>
      <c r="H60" s="362" t="s">
        <v>1363</v>
      </c>
      <c r="I60" s="362"/>
      <c r="J60" s="367" t="s">
        <v>1774</v>
      </c>
      <c r="K60" s="380"/>
      <c r="L60" s="380"/>
      <c r="M60" s="380"/>
      <c r="N60" s="380"/>
      <c r="O60" s="380"/>
      <c r="P60" s="380"/>
      <c r="Q60" s="380"/>
      <c r="R60" s="380"/>
      <c r="S60" s="380"/>
      <c r="T60" s="380"/>
      <c r="U60" s="369"/>
      <c r="V60" s="361"/>
      <c r="W60" s="370"/>
      <c r="X60" s="370"/>
      <c r="Y60" s="342"/>
    </row>
    <row r="61" spans="1:25" ht="22.5" customHeight="1" thickTop="1" thickBot="1">
      <c r="A61" s="370" t="s">
        <v>1322</v>
      </c>
      <c r="B61" s="370" t="s">
        <v>1326</v>
      </c>
      <c r="C61" s="362" t="s">
        <v>1326</v>
      </c>
      <c r="D61" s="362" t="s">
        <v>1326</v>
      </c>
      <c r="E61" s="370" t="s">
        <v>1326</v>
      </c>
      <c r="F61" s="370" t="s">
        <v>1326</v>
      </c>
      <c r="G61" s="362" t="s">
        <v>1367</v>
      </c>
      <c r="H61" s="362" t="s">
        <v>1367</v>
      </c>
      <c r="I61" s="362"/>
      <c r="J61" s="367" t="s">
        <v>1775</v>
      </c>
      <c r="K61" s="380"/>
      <c r="L61" s="380"/>
      <c r="M61" s="380"/>
      <c r="N61" s="380"/>
      <c r="O61" s="380"/>
      <c r="P61" s="380"/>
      <c r="Q61" s="380"/>
      <c r="R61" s="380"/>
      <c r="S61" s="380"/>
      <c r="T61" s="380"/>
      <c r="U61" s="369"/>
      <c r="V61" s="361"/>
      <c r="W61" s="370"/>
      <c r="X61" s="370"/>
      <c r="Y61" s="342"/>
    </row>
    <row r="62" spans="1:25" ht="22.5" customHeight="1" thickTop="1" thickBot="1">
      <c r="A62" s="370" t="s">
        <v>1322</v>
      </c>
      <c r="B62" s="370" t="s">
        <v>1326</v>
      </c>
      <c r="C62" s="362" t="s">
        <v>1326</v>
      </c>
      <c r="D62" s="362" t="s">
        <v>1326</v>
      </c>
      <c r="E62" s="370" t="s">
        <v>1326</v>
      </c>
      <c r="F62" s="370" t="s">
        <v>1326</v>
      </c>
      <c r="G62" s="362" t="s">
        <v>1367</v>
      </c>
      <c r="H62" s="362" t="s">
        <v>1392</v>
      </c>
      <c r="I62" s="362"/>
      <c r="J62" s="367" t="s">
        <v>1776</v>
      </c>
      <c r="K62" s="380"/>
      <c r="L62" s="380"/>
      <c r="M62" s="380"/>
      <c r="N62" s="380"/>
      <c r="O62" s="380"/>
      <c r="P62" s="380"/>
      <c r="Q62" s="380"/>
      <c r="R62" s="380"/>
      <c r="S62" s="380"/>
      <c r="T62" s="380"/>
      <c r="U62" s="369"/>
      <c r="V62" s="361"/>
      <c r="W62" s="370"/>
      <c r="X62" s="370"/>
      <c r="Y62" s="342"/>
    </row>
    <row r="63" spans="1:25" ht="22.5" customHeight="1" thickTop="1" thickBot="1">
      <c r="A63" s="370" t="s">
        <v>1322</v>
      </c>
      <c r="B63" s="370" t="s">
        <v>1326</v>
      </c>
      <c r="C63" s="362" t="s">
        <v>1326</v>
      </c>
      <c r="D63" s="362" t="s">
        <v>1326</v>
      </c>
      <c r="E63" s="370" t="s">
        <v>1326</v>
      </c>
      <c r="F63" s="370" t="s">
        <v>1326</v>
      </c>
      <c r="G63" s="362" t="s">
        <v>1367</v>
      </c>
      <c r="H63" s="362" t="s">
        <v>1415</v>
      </c>
      <c r="I63" s="362"/>
      <c r="J63" s="367" t="s">
        <v>1777</v>
      </c>
      <c r="K63" s="380"/>
      <c r="L63" s="380"/>
      <c r="M63" s="380"/>
      <c r="N63" s="380"/>
      <c r="O63" s="380"/>
      <c r="P63" s="380"/>
      <c r="Q63" s="380"/>
      <c r="R63" s="380"/>
      <c r="S63" s="380"/>
      <c r="T63" s="380"/>
      <c r="U63" s="369"/>
      <c r="V63" s="361"/>
      <c r="W63" s="370"/>
      <c r="X63" s="370"/>
      <c r="Y63" s="342"/>
    </row>
    <row r="64" spans="1:25" ht="22.5" customHeight="1" thickTop="1" thickBot="1">
      <c r="A64" s="370" t="s">
        <v>1322</v>
      </c>
      <c r="B64" s="370" t="s">
        <v>1326</v>
      </c>
      <c r="C64" s="362" t="s">
        <v>1326</v>
      </c>
      <c r="D64" s="362" t="s">
        <v>1326</v>
      </c>
      <c r="E64" s="370" t="s">
        <v>1326</v>
      </c>
      <c r="F64" s="370" t="s">
        <v>1326</v>
      </c>
      <c r="G64" s="362" t="s">
        <v>1367</v>
      </c>
      <c r="H64" s="362" t="s">
        <v>1419</v>
      </c>
      <c r="I64" s="362"/>
      <c r="J64" s="367" t="s">
        <v>1778</v>
      </c>
      <c r="K64" s="380"/>
      <c r="L64" s="380"/>
      <c r="M64" s="380"/>
      <c r="N64" s="380"/>
      <c r="O64" s="380"/>
      <c r="P64" s="380"/>
      <c r="Q64" s="380"/>
      <c r="R64" s="380"/>
      <c r="S64" s="380"/>
      <c r="T64" s="380"/>
      <c r="U64" s="369"/>
      <c r="V64" s="361"/>
      <c r="W64" s="370"/>
      <c r="X64" s="370"/>
      <c r="Y64" s="342"/>
    </row>
    <row r="65" spans="1:25" ht="22.5" customHeight="1" thickTop="1" thickBot="1">
      <c r="A65" s="370" t="s">
        <v>1322</v>
      </c>
      <c r="B65" s="370" t="s">
        <v>1326</v>
      </c>
      <c r="C65" s="362" t="s">
        <v>1326</v>
      </c>
      <c r="D65" s="362" t="s">
        <v>1326</v>
      </c>
      <c r="E65" s="370" t="s">
        <v>1326</v>
      </c>
      <c r="F65" s="370" t="s">
        <v>1326</v>
      </c>
      <c r="G65" s="362" t="s">
        <v>1367</v>
      </c>
      <c r="H65" s="362" t="s">
        <v>1423</v>
      </c>
      <c r="I65" s="362"/>
      <c r="J65" s="367" t="s">
        <v>1775</v>
      </c>
      <c r="K65" s="380"/>
      <c r="L65" s="380"/>
      <c r="M65" s="380"/>
      <c r="N65" s="380"/>
      <c r="O65" s="380"/>
      <c r="P65" s="380"/>
      <c r="Q65" s="380"/>
      <c r="R65" s="380"/>
      <c r="S65" s="380"/>
      <c r="T65" s="380"/>
      <c r="U65" s="369"/>
      <c r="V65" s="361"/>
      <c r="W65" s="370"/>
      <c r="X65" s="370"/>
      <c r="Y65" s="342"/>
    </row>
    <row r="66" spans="1:25" ht="22.5" customHeight="1" thickTop="1" thickBot="1">
      <c r="A66" s="349" t="s">
        <v>1322</v>
      </c>
      <c r="B66" s="350" t="s">
        <v>1326</v>
      </c>
      <c r="C66" s="350" t="s">
        <v>1339</v>
      </c>
      <c r="D66" s="350"/>
      <c r="E66" s="350"/>
      <c r="F66" s="351"/>
      <c r="G66" s="351"/>
      <c r="H66" s="351"/>
      <c r="I66" s="351"/>
      <c r="J66" s="352" t="s">
        <v>1346</v>
      </c>
      <c r="K66" s="353"/>
      <c r="L66" s="353"/>
      <c r="M66" s="353"/>
      <c r="N66" s="353"/>
      <c r="O66" s="353"/>
      <c r="P66" s="353"/>
      <c r="Q66" s="353"/>
      <c r="R66" s="353"/>
      <c r="S66" s="353"/>
      <c r="T66" s="353"/>
      <c r="U66" s="354"/>
      <c r="V66" s="349"/>
      <c r="W66" s="349" t="s">
        <v>1347</v>
      </c>
      <c r="X66" s="349" t="s">
        <v>1348</v>
      </c>
      <c r="Y66" s="342" t="s">
        <v>1324</v>
      </c>
    </row>
    <row r="67" spans="1:25" ht="22.5" customHeight="1" thickTop="1" thickBot="1">
      <c r="A67" s="355" t="s">
        <v>1322</v>
      </c>
      <c r="B67" s="356" t="s">
        <v>1326</v>
      </c>
      <c r="C67" s="356" t="s">
        <v>1339</v>
      </c>
      <c r="D67" s="356" t="s">
        <v>1326</v>
      </c>
      <c r="E67" s="356"/>
      <c r="F67" s="357"/>
      <c r="G67" s="357"/>
      <c r="H67" s="357"/>
      <c r="I67" s="357"/>
      <c r="J67" s="358" t="s">
        <v>1349</v>
      </c>
      <c r="K67" s="359"/>
      <c r="L67" s="359"/>
      <c r="M67" s="359"/>
      <c r="N67" s="359"/>
      <c r="O67" s="359"/>
      <c r="P67" s="359"/>
      <c r="Q67" s="359"/>
      <c r="R67" s="359"/>
      <c r="S67" s="359"/>
      <c r="T67" s="359"/>
      <c r="U67" s="360"/>
      <c r="V67" s="356"/>
      <c r="W67" s="355" t="s">
        <v>1350</v>
      </c>
      <c r="X67" s="355" t="s">
        <v>1351</v>
      </c>
      <c r="Y67" s="342" t="s">
        <v>1324</v>
      </c>
    </row>
    <row r="68" spans="1:25" ht="22.5" customHeight="1" thickTop="1" thickBot="1">
      <c r="A68" s="366" t="s">
        <v>1322</v>
      </c>
      <c r="B68" s="366" t="s">
        <v>1326</v>
      </c>
      <c r="C68" s="361" t="s">
        <v>1339</v>
      </c>
      <c r="D68" s="366" t="s">
        <v>1326</v>
      </c>
      <c r="E68" s="361" t="s">
        <v>1326</v>
      </c>
      <c r="F68" s="362"/>
      <c r="G68" s="362"/>
      <c r="H68" s="362"/>
      <c r="I68" s="362"/>
      <c r="J68" s="363" t="s">
        <v>1352</v>
      </c>
      <c r="K68" s="364"/>
      <c r="L68" s="364"/>
      <c r="M68" s="364"/>
      <c r="N68" s="364"/>
      <c r="O68" s="364"/>
      <c r="P68" s="364"/>
      <c r="Q68" s="364"/>
      <c r="R68" s="364"/>
      <c r="S68" s="364"/>
      <c r="T68" s="364"/>
      <c r="U68" s="365"/>
      <c r="V68" s="370"/>
      <c r="W68" s="370" t="s">
        <v>1353</v>
      </c>
      <c r="X68" s="370" t="s">
        <v>1324</v>
      </c>
      <c r="Y68" s="342" t="s">
        <v>1324</v>
      </c>
    </row>
    <row r="69" spans="1:25" ht="22.5" customHeight="1" thickTop="1" thickBot="1">
      <c r="A69" s="370" t="s">
        <v>1322</v>
      </c>
      <c r="B69" s="370" t="s">
        <v>1326</v>
      </c>
      <c r="C69" s="362" t="s">
        <v>1339</v>
      </c>
      <c r="D69" s="370" t="s">
        <v>1326</v>
      </c>
      <c r="E69" s="370" t="s">
        <v>1326</v>
      </c>
      <c r="F69" s="361" t="s">
        <v>1326</v>
      </c>
      <c r="G69" s="362"/>
      <c r="H69" s="362"/>
      <c r="I69" s="362"/>
      <c r="J69" s="363" t="s">
        <v>1354</v>
      </c>
      <c r="K69" s="364"/>
      <c r="L69" s="364"/>
      <c r="M69" s="364"/>
      <c r="N69" s="364"/>
      <c r="O69" s="364"/>
      <c r="P69" s="364"/>
      <c r="Q69" s="364"/>
      <c r="R69" s="364"/>
      <c r="S69" s="364"/>
      <c r="T69" s="364"/>
      <c r="U69" s="365"/>
      <c r="V69" s="370"/>
      <c r="W69" s="370" t="s">
        <v>1355</v>
      </c>
      <c r="X69" s="370" t="s">
        <v>1356</v>
      </c>
      <c r="Y69" s="342" t="s">
        <v>1324</v>
      </c>
    </row>
    <row r="70" spans="1:25" ht="22.5" customHeight="1" thickTop="1" thickBot="1">
      <c r="A70" s="370" t="s">
        <v>1322</v>
      </c>
      <c r="B70" s="370" t="s">
        <v>1326</v>
      </c>
      <c r="C70" s="362" t="s">
        <v>1339</v>
      </c>
      <c r="D70" s="370" t="s">
        <v>1326</v>
      </c>
      <c r="E70" s="370" t="s">
        <v>1326</v>
      </c>
      <c r="F70" s="370" t="s">
        <v>1326</v>
      </c>
      <c r="G70" s="361" t="s">
        <v>1326</v>
      </c>
      <c r="H70" s="362"/>
      <c r="I70" s="362"/>
      <c r="J70" s="363" t="s">
        <v>1357</v>
      </c>
      <c r="K70" s="364"/>
      <c r="L70" s="364"/>
      <c r="M70" s="364"/>
      <c r="N70" s="364"/>
      <c r="O70" s="364"/>
      <c r="P70" s="364"/>
      <c r="Q70" s="364"/>
      <c r="R70" s="364"/>
      <c r="S70" s="364"/>
      <c r="T70" s="364"/>
      <c r="U70" s="365"/>
      <c r="V70" s="370"/>
      <c r="W70" s="370"/>
      <c r="X70" s="370"/>
      <c r="Y70" s="342" t="s">
        <v>1324</v>
      </c>
    </row>
    <row r="71" spans="1:25" ht="22.5" customHeight="1" thickTop="1" thickBot="1">
      <c r="A71" s="370" t="s">
        <v>1322</v>
      </c>
      <c r="B71" s="370" t="s">
        <v>1326</v>
      </c>
      <c r="C71" s="362" t="s">
        <v>1339</v>
      </c>
      <c r="D71" s="370" t="s">
        <v>1326</v>
      </c>
      <c r="E71" s="370" t="s">
        <v>1326</v>
      </c>
      <c r="F71" s="370" t="s">
        <v>1326</v>
      </c>
      <c r="G71" s="370" t="s">
        <v>1326</v>
      </c>
      <c r="H71" s="370" t="s">
        <v>1326</v>
      </c>
      <c r="I71" s="362"/>
      <c r="J71" s="367" t="s">
        <v>1358</v>
      </c>
      <c r="K71" s="368"/>
      <c r="L71" s="368"/>
      <c r="M71" s="368"/>
      <c r="N71" s="368"/>
      <c r="O71" s="368"/>
      <c r="P71" s="368"/>
      <c r="Q71" s="368"/>
      <c r="R71" s="368"/>
      <c r="S71" s="368"/>
      <c r="T71" s="368"/>
      <c r="U71" s="369"/>
      <c r="V71" s="370"/>
      <c r="W71" s="370"/>
      <c r="X71" s="370"/>
      <c r="Y71" s="342" t="s">
        <v>1324</v>
      </c>
    </row>
    <row r="72" spans="1:25" ht="22.5" customHeight="1" thickTop="1" thickBot="1">
      <c r="A72" s="370" t="s">
        <v>1322</v>
      </c>
      <c r="B72" s="370" t="s">
        <v>1326</v>
      </c>
      <c r="C72" s="362" t="s">
        <v>1339</v>
      </c>
      <c r="D72" s="370" t="s">
        <v>1326</v>
      </c>
      <c r="E72" s="370" t="s">
        <v>1326</v>
      </c>
      <c r="F72" s="370" t="s">
        <v>1326</v>
      </c>
      <c r="G72" s="370" t="s">
        <v>1326</v>
      </c>
      <c r="H72" s="362" t="s">
        <v>1339</v>
      </c>
      <c r="I72" s="362"/>
      <c r="J72" s="367" t="s">
        <v>1359</v>
      </c>
      <c r="K72" s="368"/>
      <c r="L72" s="368"/>
      <c r="M72" s="368"/>
      <c r="N72" s="368"/>
      <c r="O72" s="368"/>
      <c r="P72" s="368"/>
      <c r="Q72" s="368"/>
      <c r="R72" s="368"/>
      <c r="S72" s="368"/>
      <c r="T72" s="368"/>
      <c r="U72" s="369"/>
      <c r="V72" s="370"/>
      <c r="W72" s="370"/>
      <c r="X72" s="370"/>
      <c r="Y72" s="342" t="s">
        <v>1324</v>
      </c>
    </row>
    <row r="73" spans="1:25" ht="22.5" customHeight="1" thickTop="1" thickBot="1">
      <c r="A73" s="370" t="s">
        <v>1322</v>
      </c>
      <c r="B73" s="370" t="s">
        <v>1326</v>
      </c>
      <c r="C73" s="362" t="s">
        <v>1339</v>
      </c>
      <c r="D73" s="370" t="s">
        <v>1326</v>
      </c>
      <c r="E73" s="370" t="s">
        <v>1326</v>
      </c>
      <c r="F73" s="370" t="s">
        <v>1326</v>
      </c>
      <c r="G73" s="361" t="s">
        <v>1339</v>
      </c>
      <c r="H73" s="362"/>
      <c r="I73" s="362"/>
      <c r="J73" s="363" t="s">
        <v>1360</v>
      </c>
      <c r="K73" s="364"/>
      <c r="L73" s="364"/>
      <c r="M73" s="364"/>
      <c r="N73" s="364"/>
      <c r="O73" s="364"/>
      <c r="P73" s="364"/>
      <c r="Q73" s="364"/>
      <c r="R73" s="364"/>
      <c r="S73" s="364"/>
      <c r="T73" s="364"/>
      <c r="U73" s="365"/>
      <c r="V73" s="370"/>
      <c r="W73" s="370"/>
      <c r="X73" s="370"/>
      <c r="Y73" s="342" t="s">
        <v>1324</v>
      </c>
    </row>
    <row r="74" spans="1:25" ht="22.5" customHeight="1" thickTop="1" thickBot="1">
      <c r="A74" s="370" t="s">
        <v>1322</v>
      </c>
      <c r="B74" s="370" t="s">
        <v>1326</v>
      </c>
      <c r="C74" s="362" t="s">
        <v>1339</v>
      </c>
      <c r="D74" s="370" t="s">
        <v>1326</v>
      </c>
      <c r="E74" s="370" t="s">
        <v>1326</v>
      </c>
      <c r="F74" s="370" t="s">
        <v>1326</v>
      </c>
      <c r="G74" s="362" t="s">
        <v>1339</v>
      </c>
      <c r="H74" s="362" t="s">
        <v>1326</v>
      </c>
      <c r="I74" s="362"/>
      <c r="J74" s="367" t="s">
        <v>1361</v>
      </c>
      <c r="K74" s="368"/>
      <c r="L74" s="368"/>
      <c r="M74" s="368"/>
      <c r="N74" s="368"/>
      <c r="O74" s="368"/>
      <c r="P74" s="368"/>
      <c r="Q74" s="368"/>
      <c r="R74" s="368"/>
      <c r="S74" s="368"/>
      <c r="T74" s="368"/>
      <c r="U74" s="369"/>
      <c r="V74" s="370"/>
      <c r="W74" s="370"/>
      <c r="X74" s="370"/>
      <c r="Y74" s="342" t="s">
        <v>1324</v>
      </c>
    </row>
    <row r="75" spans="1:25" ht="22.5" customHeight="1" thickTop="1" thickBot="1">
      <c r="A75" s="370" t="s">
        <v>1322</v>
      </c>
      <c r="B75" s="370" t="s">
        <v>1326</v>
      </c>
      <c r="C75" s="362" t="s">
        <v>1339</v>
      </c>
      <c r="D75" s="370" t="s">
        <v>1326</v>
      </c>
      <c r="E75" s="370" t="s">
        <v>1326</v>
      </c>
      <c r="F75" s="370" t="s">
        <v>1326</v>
      </c>
      <c r="G75" s="362" t="s">
        <v>1339</v>
      </c>
      <c r="H75" s="362" t="s">
        <v>1339</v>
      </c>
      <c r="I75" s="362"/>
      <c r="J75" s="367" t="s">
        <v>1362</v>
      </c>
      <c r="K75" s="368"/>
      <c r="L75" s="368"/>
      <c r="M75" s="368"/>
      <c r="N75" s="368"/>
      <c r="O75" s="368"/>
      <c r="P75" s="368"/>
      <c r="Q75" s="368"/>
      <c r="R75" s="368"/>
      <c r="S75" s="368"/>
      <c r="T75" s="368"/>
      <c r="U75" s="369"/>
      <c r="V75" s="370"/>
      <c r="W75" s="370"/>
      <c r="X75" s="370"/>
      <c r="Y75" s="342" t="s">
        <v>1324</v>
      </c>
    </row>
    <row r="76" spans="1:25" ht="22.5" customHeight="1" thickTop="1" thickBot="1">
      <c r="A76" s="370" t="s">
        <v>1322</v>
      </c>
      <c r="B76" s="370" t="s">
        <v>1326</v>
      </c>
      <c r="C76" s="362" t="s">
        <v>1339</v>
      </c>
      <c r="D76" s="370" t="s">
        <v>1326</v>
      </c>
      <c r="E76" s="370" t="s">
        <v>1326</v>
      </c>
      <c r="F76" s="370" t="s">
        <v>1326</v>
      </c>
      <c r="G76" s="361" t="s">
        <v>1363</v>
      </c>
      <c r="H76" s="362"/>
      <c r="I76" s="362"/>
      <c r="J76" s="363" t="s">
        <v>1364</v>
      </c>
      <c r="K76" s="364"/>
      <c r="L76" s="364"/>
      <c r="M76" s="364"/>
      <c r="N76" s="364"/>
      <c r="O76" s="364"/>
      <c r="P76" s="364"/>
      <c r="Q76" s="364"/>
      <c r="R76" s="364"/>
      <c r="S76" s="364"/>
      <c r="T76" s="364"/>
      <c r="U76" s="365"/>
      <c r="V76" s="370"/>
      <c r="W76" s="370"/>
      <c r="X76" s="370"/>
      <c r="Y76" s="342" t="s">
        <v>1324</v>
      </c>
    </row>
    <row r="77" spans="1:25" ht="22.5" customHeight="1" thickTop="1" thickBot="1">
      <c r="A77" s="370" t="s">
        <v>1322</v>
      </c>
      <c r="B77" s="370" t="s">
        <v>1326</v>
      </c>
      <c r="C77" s="362" t="s">
        <v>1339</v>
      </c>
      <c r="D77" s="370" t="s">
        <v>1326</v>
      </c>
      <c r="E77" s="370" t="s">
        <v>1326</v>
      </c>
      <c r="F77" s="370" t="s">
        <v>1326</v>
      </c>
      <c r="G77" s="362" t="s">
        <v>1363</v>
      </c>
      <c r="H77" s="362" t="s">
        <v>1326</v>
      </c>
      <c r="I77" s="362"/>
      <c r="J77" s="367" t="s">
        <v>1365</v>
      </c>
      <c r="K77" s="368"/>
      <c r="L77" s="368"/>
      <c r="M77" s="368"/>
      <c r="N77" s="368"/>
      <c r="O77" s="368"/>
      <c r="P77" s="368"/>
      <c r="Q77" s="368"/>
      <c r="R77" s="368"/>
      <c r="S77" s="368"/>
      <c r="T77" s="368"/>
      <c r="U77" s="369"/>
      <c r="V77" s="370"/>
      <c r="W77" s="370"/>
      <c r="X77" s="370"/>
      <c r="Y77" s="342" t="s">
        <v>1324</v>
      </c>
    </row>
    <row r="78" spans="1:25" ht="22.5" customHeight="1" thickTop="1" thickBot="1">
      <c r="A78" s="370" t="s">
        <v>1322</v>
      </c>
      <c r="B78" s="370" t="s">
        <v>1326</v>
      </c>
      <c r="C78" s="362" t="s">
        <v>1339</v>
      </c>
      <c r="D78" s="370" t="s">
        <v>1326</v>
      </c>
      <c r="E78" s="370" t="s">
        <v>1326</v>
      </c>
      <c r="F78" s="370" t="s">
        <v>1326</v>
      </c>
      <c r="G78" s="362" t="s">
        <v>1363</v>
      </c>
      <c r="H78" s="362" t="s">
        <v>1339</v>
      </c>
      <c r="I78" s="362"/>
      <c r="J78" s="367" t="s">
        <v>1366</v>
      </c>
      <c r="K78" s="368"/>
      <c r="L78" s="368"/>
      <c r="M78" s="368"/>
      <c r="N78" s="368"/>
      <c r="O78" s="368"/>
      <c r="P78" s="368"/>
      <c r="Q78" s="368"/>
      <c r="R78" s="368"/>
      <c r="S78" s="368"/>
      <c r="T78" s="368"/>
      <c r="U78" s="369"/>
      <c r="V78" s="370"/>
      <c r="W78" s="370"/>
      <c r="X78" s="370"/>
      <c r="Y78" s="342" t="s">
        <v>1324</v>
      </c>
    </row>
    <row r="79" spans="1:25" ht="22.5" customHeight="1" thickTop="1" thickBot="1">
      <c r="A79" s="370" t="s">
        <v>1322</v>
      </c>
      <c r="B79" s="370" t="s">
        <v>1326</v>
      </c>
      <c r="C79" s="362" t="s">
        <v>1339</v>
      </c>
      <c r="D79" s="370" t="s">
        <v>1326</v>
      </c>
      <c r="E79" s="370" t="s">
        <v>1326</v>
      </c>
      <c r="F79" s="370" t="s">
        <v>1326</v>
      </c>
      <c r="G79" s="361" t="s">
        <v>1367</v>
      </c>
      <c r="H79" s="362"/>
      <c r="I79" s="362"/>
      <c r="J79" s="363" t="s">
        <v>1368</v>
      </c>
      <c r="K79" s="371"/>
      <c r="L79" s="371"/>
      <c r="M79" s="371"/>
      <c r="N79" s="371"/>
      <c r="O79" s="371"/>
      <c r="P79" s="371"/>
      <c r="Q79" s="371"/>
      <c r="R79" s="371"/>
      <c r="S79" s="371"/>
      <c r="T79" s="371"/>
      <c r="U79" s="372"/>
      <c r="V79" s="370"/>
      <c r="W79" s="370"/>
      <c r="X79" s="370"/>
      <c r="Y79" s="342" t="s">
        <v>1324</v>
      </c>
    </row>
    <row r="80" spans="1:25" ht="22.5" customHeight="1" thickTop="1" thickBot="1">
      <c r="A80" s="370" t="s">
        <v>1322</v>
      </c>
      <c r="B80" s="370" t="s">
        <v>1326</v>
      </c>
      <c r="C80" s="362" t="s">
        <v>1339</v>
      </c>
      <c r="D80" s="370" t="s">
        <v>1326</v>
      </c>
      <c r="E80" s="370" t="s">
        <v>1326</v>
      </c>
      <c r="F80" s="370" t="s">
        <v>1326</v>
      </c>
      <c r="G80" s="362" t="s">
        <v>1367</v>
      </c>
      <c r="H80" s="362" t="s">
        <v>1326</v>
      </c>
      <c r="I80" s="362"/>
      <c r="J80" s="367" t="s">
        <v>1369</v>
      </c>
      <c r="K80" s="373"/>
      <c r="L80" s="373"/>
      <c r="M80" s="373"/>
      <c r="N80" s="368"/>
      <c r="O80" s="373"/>
      <c r="P80" s="373"/>
      <c r="Q80" s="373"/>
      <c r="R80" s="373"/>
      <c r="S80" s="368"/>
      <c r="T80" s="373"/>
      <c r="U80" s="374"/>
      <c r="V80" s="370"/>
      <c r="W80" s="370"/>
      <c r="X80" s="370"/>
      <c r="Y80" s="342" t="s">
        <v>1324</v>
      </c>
    </row>
    <row r="81" spans="1:25" ht="22.5" customHeight="1" thickTop="1" thickBot="1">
      <c r="A81" s="370" t="s">
        <v>1322</v>
      </c>
      <c r="B81" s="370" t="s">
        <v>1326</v>
      </c>
      <c r="C81" s="362" t="s">
        <v>1339</v>
      </c>
      <c r="D81" s="370" t="s">
        <v>1326</v>
      </c>
      <c r="E81" s="370" t="s">
        <v>1326</v>
      </c>
      <c r="F81" s="370" t="s">
        <v>1326</v>
      </c>
      <c r="G81" s="362" t="s">
        <v>1367</v>
      </c>
      <c r="H81" s="362" t="s">
        <v>1339</v>
      </c>
      <c r="I81" s="362"/>
      <c r="J81" s="367" t="s">
        <v>1370</v>
      </c>
      <c r="K81" s="373"/>
      <c r="L81" s="373"/>
      <c r="M81" s="373"/>
      <c r="N81" s="368"/>
      <c r="O81" s="373"/>
      <c r="P81" s="373"/>
      <c r="Q81" s="373"/>
      <c r="R81" s="373"/>
      <c r="S81" s="368"/>
      <c r="T81" s="373"/>
      <c r="U81" s="374"/>
      <c r="V81" s="370"/>
      <c r="W81" s="370"/>
      <c r="X81" s="370"/>
      <c r="Y81" s="342" t="s">
        <v>1324</v>
      </c>
    </row>
    <row r="82" spans="1:25" ht="22.5" customHeight="1" thickTop="1" thickBot="1">
      <c r="A82" s="355" t="s">
        <v>1322</v>
      </c>
      <c r="B82" s="356" t="s">
        <v>1326</v>
      </c>
      <c r="C82" s="356" t="s">
        <v>1339</v>
      </c>
      <c r="D82" s="356" t="s">
        <v>1339</v>
      </c>
      <c r="E82" s="356"/>
      <c r="F82" s="357"/>
      <c r="G82" s="357"/>
      <c r="H82" s="357"/>
      <c r="I82" s="357"/>
      <c r="J82" s="358" t="s">
        <v>1371</v>
      </c>
      <c r="K82" s="359"/>
      <c r="L82" s="359"/>
      <c r="M82" s="359"/>
      <c r="N82" s="359"/>
      <c r="O82" s="359"/>
      <c r="P82" s="359"/>
      <c r="Q82" s="359"/>
      <c r="R82" s="359"/>
      <c r="S82" s="359"/>
      <c r="T82" s="359"/>
      <c r="U82" s="360"/>
      <c r="V82" s="356"/>
      <c r="W82" s="355"/>
      <c r="X82" s="355"/>
      <c r="Y82" s="342" t="s">
        <v>1324</v>
      </c>
    </row>
    <row r="83" spans="1:25" ht="22.5" customHeight="1" thickTop="1" thickBot="1">
      <c r="A83" s="355">
        <v>1</v>
      </c>
      <c r="B83" s="356" t="s">
        <v>1326</v>
      </c>
      <c r="C83" s="356" t="s">
        <v>1339</v>
      </c>
      <c r="D83" s="356" t="s">
        <v>1339</v>
      </c>
      <c r="E83" s="356" t="s">
        <v>1326</v>
      </c>
      <c r="F83" s="357"/>
      <c r="G83" s="357"/>
      <c r="H83" s="357"/>
      <c r="I83" s="357"/>
      <c r="J83" s="358" t="s">
        <v>1372</v>
      </c>
      <c r="K83" s="359"/>
      <c r="L83" s="359"/>
      <c r="M83" s="359"/>
      <c r="N83" s="359"/>
      <c r="O83" s="359"/>
      <c r="P83" s="359"/>
      <c r="Q83" s="359"/>
      <c r="R83" s="359"/>
      <c r="S83" s="359"/>
      <c r="T83" s="359"/>
      <c r="U83" s="360"/>
      <c r="V83" s="356"/>
      <c r="W83" s="355"/>
      <c r="X83" s="355"/>
      <c r="Y83" s="342"/>
    </row>
    <row r="84" spans="1:25" s="147" customFormat="1" ht="22.5" customHeight="1" thickTop="1" thickBot="1">
      <c r="A84" s="366" t="s">
        <v>1322</v>
      </c>
      <c r="B84" s="366" t="s">
        <v>1326</v>
      </c>
      <c r="C84" s="361" t="s">
        <v>1339</v>
      </c>
      <c r="D84" s="361" t="s">
        <v>1339</v>
      </c>
      <c r="E84" s="361" t="s">
        <v>1326</v>
      </c>
      <c r="F84" s="361" t="s">
        <v>1326</v>
      </c>
      <c r="G84" s="361"/>
      <c r="H84" s="362"/>
      <c r="I84" s="362"/>
      <c r="J84" s="363" t="s">
        <v>1373</v>
      </c>
      <c r="K84" s="364"/>
      <c r="L84" s="364"/>
      <c r="M84" s="364"/>
      <c r="N84" s="364"/>
      <c r="O84" s="364"/>
      <c r="P84" s="364"/>
      <c r="Q84" s="364"/>
      <c r="R84" s="364"/>
      <c r="S84" s="364"/>
      <c r="T84" s="364"/>
      <c r="U84" s="365"/>
      <c r="V84" s="366"/>
      <c r="W84" s="366"/>
      <c r="X84" s="366"/>
      <c r="Y84" s="342" t="s">
        <v>1324</v>
      </c>
    </row>
    <row r="85" spans="1:25" ht="22.5" customHeight="1" thickTop="1" thickBot="1">
      <c r="A85" s="370" t="s">
        <v>1322</v>
      </c>
      <c r="B85" s="370" t="s">
        <v>1326</v>
      </c>
      <c r="C85" s="362" t="s">
        <v>1339</v>
      </c>
      <c r="D85" s="362" t="s">
        <v>1339</v>
      </c>
      <c r="E85" s="370" t="s">
        <v>1326</v>
      </c>
      <c r="F85" s="362" t="s">
        <v>1326</v>
      </c>
      <c r="G85" s="361" t="s">
        <v>1326</v>
      </c>
      <c r="H85" s="362"/>
      <c r="I85" s="362"/>
      <c r="J85" s="363" t="s">
        <v>1374</v>
      </c>
      <c r="K85" s="368"/>
      <c r="L85" s="368"/>
      <c r="M85" s="368"/>
      <c r="N85" s="368"/>
      <c r="O85" s="368"/>
      <c r="P85" s="368"/>
      <c r="Q85" s="368"/>
      <c r="R85" s="368"/>
      <c r="S85" s="368"/>
      <c r="T85" s="368"/>
      <c r="U85" s="369"/>
      <c r="V85" s="370"/>
      <c r="W85" s="370" t="s">
        <v>1375</v>
      </c>
      <c r="X85" s="370" t="s">
        <v>1376</v>
      </c>
      <c r="Y85" s="375" t="s">
        <v>1324</v>
      </c>
    </row>
    <row r="86" spans="1:25" ht="22.5" customHeight="1" thickTop="1" thickBot="1">
      <c r="A86" s="370" t="s">
        <v>1322</v>
      </c>
      <c r="B86" s="370" t="s">
        <v>1326</v>
      </c>
      <c r="C86" s="362" t="s">
        <v>1339</v>
      </c>
      <c r="D86" s="362" t="s">
        <v>1339</v>
      </c>
      <c r="E86" s="370" t="s">
        <v>1326</v>
      </c>
      <c r="F86" s="370" t="s">
        <v>1326</v>
      </c>
      <c r="G86" s="362" t="s">
        <v>1326</v>
      </c>
      <c r="H86" s="362" t="s">
        <v>1326</v>
      </c>
      <c r="I86" s="362"/>
      <c r="J86" s="367" t="s">
        <v>1377</v>
      </c>
      <c r="K86" s="368"/>
      <c r="L86" s="368"/>
      <c r="M86" s="368"/>
      <c r="N86" s="368"/>
      <c r="O86" s="368"/>
      <c r="P86" s="368"/>
      <c r="Q86" s="368"/>
      <c r="R86" s="368"/>
      <c r="S86" s="368"/>
      <c r="T86" s="368"/>
      <c r="U86" s="369"/>
      <c r="V86" s="370"/>
      <c r="W86" s="370"/>
      <c r="X86" s="370"/>
      <c r="Y86" s="375" t="s">
        <v>1324</v>
      </c>
    </row>
    <row r="87" spans="1:25" ht="22.5" customHeight="1" thickTop="1" thickBot="1">
      <c r="A87" s="370" t="s">
        <v>1322</v>
      </c>
      <c r="B87" s="370" t="s">
        <v>1326</v>
      </c>
      <c r="C87" s="362" t="s">
        <v>1339</v>
      </c>
      <c r="D87" s="362" t="s">
        <v>1339</v>
      </c>
      <c r="E87" s="370" t="s">
        <v>1326</v>
      </c>
      <c r="F87" s="370" t="s">
        <v>1326</v>
      </c>
      <c r="G87" s="362" t="s">
        <v>1326</v>
      </c>
      <c r="H87" s="362" t="s">
        <v>1339</v>
      </c>
      <c r="I87" s="362"/>
      <c r="J87" s="367" t="s">
        <v>1378</v>
      </c>
      <c r="K87" s="368"/>
      <c r="L87" s="368"/>
      <c r="M87" s="368"/>
      <c r="N87" s="368"/>
      <c r="O87" s="368"/>
      <c r="P87" s="368"/>
      <c r="Q87" s="368"/>
      <c r="R87" s="368"/>
      <c r="S87" s="368"/>
      <c r="T87" s="368"/>
      <c r="U87" s="369"/>
      <c r="V87" s="370"/>
      <c r="W87" s="370"/>
      <c r="X87" s="370"/>
      <c r="Y87" s="375" t="s">
        <v>1324</v>
      </c>
    </row>
    <row r="88" spans="1:25" ht="22.5" customHeight="1" thickTop="1" thickBot="1">
      <c r="A88" s="370" t="s">
        <v>1322</v>
      </c>
      <c r="B88" s="370" t="s">
        <v>1326</v>
      </c>
      <c r="C88" s="362" t="s">
        <v>1339</v>
      </c>
      <c r="D88" s="362" t="s">
        <v>1339</v>
      </c>
      <c r="E88" s="370" t="s">
        <v>1326</v>
      </c>
      <c r="F88" s="370" t="s">
        <v>1326</v>
      </c>
      <c r="G88" s="362" t="s">
        <v>1326</v>
      </c>
      <c r="H88" s="362" t="s">
        <v>1363</v>
      </c>
      <c r="I88" s="362"/>
      <c r="J88" s="367" t="s">
        <v>1719</v>
      </c>
      <c r="K88" s="368"/>
      <c r="L88" s="368"/>
      <c r="M88" s="368"/>
      <c r="N88" s="368"/>
      <c r="O88" s="368"/>
      <c r="P88" s="368"/>
      <c r="Q88" s="368"/>
      <c r="R88" s="368"/>
      <c r="S88" s="368"/>
      <c r="T88" s="368"/>
      <c r="U88" s="369"/>
      <c r="V88" s="370"/>
      <c r="W88" s="370"/>
      <c r="X88" s="370"/>
      <c r="Y88" s="375"/>
    </row>
    <row r="89" spans="1:25" ht="22.5" customHeight="1" thickTop="1" thickBot="1">
      <c r="A89" s="370" t="s">
        <v>1322</v>
      </c>
      <c r="B89" s="370" t="s">
        <v>1326</v>
      </c>
      <c r="C89" s="362" t="s">
        <v>1339</v>
      </c>
      <c r="D89" s="362" t="s">
        <v>1339</v>
      </c>
      <c r="E89" s="370" t="s">
        <v>1326</v>
      </c>
      <c r="F89" s="370" t="s">
        <v>1326</v>
      </c>
      <c r="G89" s="362" t="s">
        <v>1326</v>
      </c>
      <c r="H89" s="362" t="s">
        <v>1367</v>
      </c>
      <c r="I89" s="362"/>
      <c r="J89" s="367" t="s">
        <v>1720</v>
      </c>
      <c r="K89" s="368"/>
      <c r="L89" s="368"/>
      <c r="M89" s="368"/>
      <c r="N89" s="368"/>
      <c r="O89" s="368"/>
      <c r="P89" s="368"/>
      <c r="Q89" s="368"/>
      <c r="R89" s="368"/>
      <c r="S89" s="368"/>
      <c r="T89" s="368"/>
      <c r="U89" s="369"/>
      <c r="V89" s="370"/>
      <c r="W89" s="370"/>
      <c r="X89" s="370"/>
      <c r="Y89" s="375"/>
    </row>
    <row r="90" spans="1:25" ht="22.5" customHeight="1" thickTop="1" thickBot="1">
      <c r="A90" s="370" t="s">
        <v>1322</v>
      </c>
      <c r="B90" s="370" t="s">
        <v>1326</v>
      </c>
      <c r="C90" s="362" t="s">
        <v>1339</v>
      </c>
      <c r="D90" s="362" t="s">
        <v>1339</v>
      </c>
      <c r="E90" s="370" t="s">
        <v>1326</v>
      </c>
      <c r="F90" s="370" t="s">
        <v>1326</v>
      </c>
      <c r="G90" s="362" t="s">
        <v>1326</v>
      </c>
      <c r="H90" s="362" t="s">
        <v>1392</v>
      </c>
      <c r="I90" s="362"/>
      <c r="J90" s="367" t="s">
        <v>1721</v>
      </c>
      <c r="K90" s="368"/>
      <c r="L90" s="368"/>
      <c r="M90" s="368"/>
      <c r="N90" s="368"/>
      <c r="O90" s="368"/>
      <c r="P90" s="368"/>
      <c r="Q90" s="368"/>
      <c r="R90" s="368"/>
      <c r="S90" s="368"/>
      <c r="T90" s="368"/>
      <c r="U90" s="369"/>
      <c r="V90" s="370"/>
      <c r="W90" s="370"/>
      <c r="X90" s="370"/>
      <c r="Y90" s="375"/>
    </row>
    <row r="91" spans="1:25" ht="22.5" customHeight="1" thickTop="1" thickBot="1">
      <c r="A91" s="370" t="s">
        <v>1322</v>
      </c>
      <c r="B91" s="370" t="s">
        <v>1326</v>
      </c>
      <c r="C91" s="362" t="s">
        <v>1339</v>
      </c>
      <c r="D91" s="362" t="s">
        <v>1339</v>
      </c>
      <c r="E91" s="370" t="s">
        <v>1326</v>
      </c>
      <c r="F91" s="370" t="s">
        <v>1326</v>
      </c>
      <c r="G91" s="362" t="s">
        <v>1326</v>
      </c>
      <c r="H91" s="362" t="s">
        <v>1415</v>
      </c>
      <c r="I91" s="362"/>
      <c r="J91" s="367" t="s">
        <v>1722</v>
      </c>
      <c r="K91" s="368"/>
      <c r="L91" s="368"/>
      <c r="M91" s="368"/>
      <c r="N91" s="368"/>
      <c r="O91" s="368"/>
      <c r="P91" s="368"/>
      <c r="Q91" s="368"/>
      <c r="R91" s="368"/>
      <c r="S91" s="368"/>
      <c r="T91" s="368"/>
      <c r="U91" s="369"/>
      <c r="V91" s="370"/>
      <c r="W91" s="370"/>
      <c r="X91" s="370"/>
      <c r="Y91" s="375"/>
    </row>
    <row r="92" spans="1:25" ht="22.5" customHeight="1" thickTop="1" thickBot="1">
      <c r="A92" s="370" t="s">
        <v>1322</v>
      </c>
      <c r="B92" s="370" t="s">
        <v>1326</v>
      </c>
      <c r="C92" s="362" t="s">
        <v>1339</v>
      </c>
      <c r="D92" s="362" t="s">
        <v>1339</v>
      </c>
      <c r="E92" s="370" t="s">
        <v>1326</v>
      </c>
      <c r="F92" s="370" t="s">
        <v>1326</v>
      </c>
      <c r="G92" s="362" t="s">
        <v>1326</v>
      </c>
      <c r="H92" s="362" t="s">
        <v>1419</v>
      </c>
      <c r="I92" s="362"/>
      <c r="J92" s="367" t="s">
        <v>1723</v>
      </c>
      <c r="K92" s="368"/>
      <c r="L92" s="368"/>
      <c r="M92" s="368"/>
      <c r="N92" s="368"/>
      <c r="O92" s="368"/>
      <c r="P92" s="368"/>
      <c r="Q92" s="368"/>
      <c r="R92" s="368"/>
      <c r="S92" s="368"/>
      <c r="T92" s="368"/>
      <c r="U92" s="369"/>
      <c r="V92" s="370"/>
      <c r="W92" s="370"/>
      <c r="X92" s="370"/>
      <c r="Y92" s="375"/>
    </row>
    <row r="93" spans="1:25" ht="22.5" customHeight="1" thickTop="1" thickBot="1">
      <c r="A93" s="370" t="s">
        <v>1322</v>
      </c>
      <c r="B93" s="370" t="s">
        <v>1326</v>
      </c>
      <c r="C93" s="362" t="s">
        <v>1339</v>
      </c>
      <c r="D93" s="362" t="s">
        <v>1339</v>
      </c>
      <c r="E93" s="370" t="s">
        <v>1326</v>
      </c>
      <c r="F93" s="370" t="s">
        <v>1326</v>
      </c>
      <c r="G93" s="362" t="s">
        <v>1326</v>
      </c>
      <c r="H93" s="362" t="s">
        <v>1423</v>
      </c>
      <c r="I93" s="362"/>
      <c r="J93" s="367" t="s">
        <v>1720</v>
      </c>
      <c r="K93" s="368"/>
      <c r="L93" s="368"/>
      <c r="M93" s="368"/>
      <c r="N93" s="368"/>
      <c r="O93" s="368"/>
      <c r="P93" s="368"/>
      <c r="Q93" s="368"/>
      <c r="R93" s="368"/>
      <c r="S93" s="368"/>
      <c r="T93" s="368"/>
      <c r="U93" s="369"/>
      <c r="V93" s="370"/>
      <c r="W93" s="370"/>
      <c r="X93" s="370"/>
      <c r="Y93" s="375"/>
    </row>
    <row r="94" spans="1:25" ht="22.5" customHeight="1" thickTop="1" thickBot="1">
      <c r="A94" s="370" t="s">
        <v>1322</v>
      </c>
      <c r="B94" s="370" t="s">
        <v>1326</v>
      </c>
      <c r="C94" s="362" t="s">
        <v>1339</v>
      </c>
      <c r="D94" s="362" t="s">
        <v>1339</v>
      </c>
      <c r="E94" s="370" t="s">
        <v>1326</v>
      </c>
      <c r="F94" s="370" t="s">
        <v>1326</v>
      </c>
      <c r="G94" s="361" t="s">
        <v>1339</v>
      </c>
      <c r="H94" s="362"/>
      <c r="I94" s="362"/>
      <c r="J94" s="363" t="s">
        <v>1379</v>
      </c>
      <c r="K94" s="368"/>
      <c r="L94" s="368"/>
      <c r="M94" s="368"/>
      <c r="N94" s="368"/>
      <c r="O94" s="368"/>
      <c r="P94" s="368"/>
      <c r="Q94" s="368"/>
      <c r="R94" s="368"/>
      <c r="S94" s="368"/>
      <c r="T94" s="368"/>
      <c r="U94" s="369"/>
      <c r="V94" s="370"/>
      <c r="W94" s="370" t="s">
        <v>1380</v>
      </c>
      <c r="X94" s="370" t="s">
        <v>1381</v>
      </c>
      <c r="Y94" s="375" t="s">
        <v>1324</v>
      </c>
    </row>
    <row r="95" spans="1:25" ht="22.5" customHeight="1" thickTop="1" thickBot="1">
      <c r="A95" s="370" t="s">
        <v>1322</v>
      </c>
      <c r="B95" s="370" t="s">
        <v>1326</v>
      </c>
      <c r="C95" s="362" t="s">
        <v>1339</v>
      </c>
      <c r="D95" s="362" t="s">
        <v>1339</v>
      </c>
      <c r="E95" s="370" t="s">
        <v>1326</v>
      </c>
      <c r="F95" s="370" t="s">
        <v>1326</v>
      </c>
      <c r="G95" s="362" t="s">
        <v>1339</v>
      </c>
      <c r="H95" s="362" t="s">
        <v>1326</v>
      </c>
      <c r="I95" s="362"/>
      <c r="J95" s="367" t="s">
        <v>1382</v>
      </c>
      <c r="K95" s="368"/>
      <c r="L95" s="368"/>
      <c r="M95" s="368"/>
      <c r="N95" s="368"/>
      <c r="O95" s="368"/>
      <c r="P95" s="368"/>
      <c r="Q95" s="368"/>
      <c r="R95" s="368"/>
      <c r="S95" s="368"/>
      <c r="T95" s="368"/>
      <c r="U95" s="369"/>
      <c r="V95" s="370"/>
      <c r="W95" s="370"/>
      <c r="X95" s="370"/>
      <c r="Y95" s="375" t="s">
        <v>1324</v>
      </c>
    </row>
    <row r="96" spans="1:25" ht="22.5" customHeight="1" thickTop="1" thickBot="1">
      <c r="A96" s="370" t="s">
        <v>1322</v>
      </c>
      <c r="B96" s="370" t="s">
        <v>1326</v>
      </c>
      <c r="C96" s="362" t="s">
        <v>1339</v>
      </c>
      <c r="D96" s="362" t="s">
        <v>1339</v>
      </c>
      <c r="E96" s="370" t="s">
        <v>1326</v>
      </c>
      <c r="F96" s="370" t="s">
        <v>1326</v>
      </c>
      <c r="G96" s="362" t="s">
        <v>1339</v>
      </c>
      <c r="H96" s="362" t="s">
        <v>1339</v>
      </c>
      <c r="I96" s="362"/>
      <c r="J96" s="367" t="s">
        <v>1383</v>
      </c>
      <c r="K96" s="368"/>
      <c r="L96" s="368"/>
      <c r="M96" s="368"/>
      <c r="N96" s="368"/>
      <c r="O96" s="368"/>
      <c r="P96" s="368"/>
      <c r="Q96" s="368"/>
      <c r="R96" s="368"/>
      <c r="S96" s="368"/>
      <c r="T96" s="368"/>
      <c r="U96" s="369"/>
      <c r="V96" s="370"/>
      <c r="W96" s="370"/>
      <c r="X96" s="370"/>
      <c r="Y96" s="375" t="s">
        <v>1324</v>
      </c>
    </row>
    <row r="97" spans="1:25" ht="22.5" customHeight="1" thickTop="1" thickBot="1">
      <c r="A97" s="370" t="s">
        <v>1322</v>
      </c>
      <c r="B97" s="370" t="s">
        <v>1326</v>
      </c>
      <c r="C97" s="362" t="s">
        <v>1339</v>
      </c>
      <c r="D97" s="362" t="s">
        <v>1339</v>
      </c>
      <c r="E97" s="370" t="s">
        <v>1326</v>
      </c>
      <c r="F97" s="370" t="s">
        <v>1326</v>
      </c>
      <c r="G97" s="362" t="s">
        <v>1339</v>
      </c>
      <c r="H97" s="362" t="s">
        <v>1363</v>
      </c>
      <c r="I97" s="362"/>
      <c r="J97" s="367" t="s">
        <v>1724</v>
      </c>
      <c r="K97" s="368"/>
      <c r="L97" s="368"/>
      <c r="M97" s="368"/>
      <c r="N97" s="368"/>
      <c r="O97" s="368"/>
      <c r="P97" s="368"/>
      <c r="Q97" s="368"/>
      <c r="R97" s="368"/>
      <c r="S97" s="368"/>
      <c r="T97" s="368"/>
      <c r="U97" s="369"/>
      <c r="V97" s="370"/>
      <c r="W97" s="370"/>
      <c r="X97" s="370"/>
      <c r="Y97" s="375"/>
    </row>
    <row r="98" spans="1:25" ht="22.5" customHeight="1" thickTop="1" thickBot="1">
      <c r="A98" s="370" t="s">
        <v>1322</v>
      </c>
      <c r="B98" s="370" t="s">
        <v>1326</v>
      </c>
      <c r="C98" s="362" t="s">
        <v>1339</v>
      </c>
      <c r="D98" s="362" t="s">
        <v>1339</v>
      </c>
      <c r="E98" s="370" t="s">
        <v>1326</v>
      </c>
      <c r="F98" s="370" t="s">
        <v>1326</v>
      </c>
      <c r="G98" s="362" t="s">
        <v>1339</v>
      </c>
      <c r="H98" s="362" t="s">
        <v>1367</v>
      </c>
      <c r="I98" s="362"/>
      <c r="J98" s="367" t="s">
        <v>1725</v>
      </c>
      <c r="K98" s="368"/>
      <c r="L98" s="368"/>
      <c r="M98" s="368"/>
      <c r="N98" s="368"/>
      <c r="O98" s="368"/>
      <c r="P98" s="368"/>
      <c r="Q98" s="368"/>
      <c r="R98" s="368"/>
      <c r="S98" s="368"/>
      <c r="T98" s="368"/>
      <c r="U98" s="369"/>
      <c r="V98" s="370"/>
      <c r="W98" s="370"/>
      <c r="X98" s="370"/>
      <c r="Y98" s="375"/>
    </row>
    <row r="99" spans="1:25" ht="22.5" customHeight="1" thickTop="1" thickBot="1">
      <c r="A99" s="370" t="s">
        <v>1322</v>
      </c>
      <c r="B99" s="370" t="s">
        <v>1326</v>
      </c>
      <c r="C99" s="362" t="s">
        <v>1339</v>
      </c>
      <c r="D99" s="362" t="s">
        <v>1339</v>
      </c>
      <c r="E99" s="370" t="s">
        <v>1326</v>
      </c>
      <c r="F99" s="370" t="s">
        <v>1326</v>
      </c>
      <c r="G99" s="362" t="s">
        <v>1339</v>
      </c>
      <c r="H99" s="362" t="s">
        <v>1392</v>
      </c>
      <c r="I99" s="362"/>
      <c r="J99" s="367" t="s">
        <v>1726</v>
      </c>
      <c r="K99" s="368"/>
      <c r="L99" s="368"/>
      <c r="M99" s="368"/>
      <c r="N99" s="368"/>
      <c r="O99" s="368"/>
      <c r="P99" s="368"/>
      <c r="Q99" s="368"/>
      <c r="R99" s="368"/>
      <c r="S99" s="368"/>
      <c r="T99" s="368"/>
      <c r="U99" s="369"/>
      <c r="V99" s="370"/>
      <c r="W99" s="370"/>
      <c r="X99" s="370"/>
      <c r="Y99" s="375"/>
    </row>
    <row r="100" spans="1:25" ht="22.5" customHeight="1" thickTop="1" thickBot="1">
      <c r="A100" s="370" t="s">
        <v>1322</v>
      </c>
      <c r="B100" s="370" t="s">
        <v>1326</v>
      </c>
      <c r="C100" s="362" t="s">
        <v>1339</v>
      </c>
      <c r="D100" s="362" t="s">
        <v>1339</v>
      </c>
      <c r="E100" s="370" t="s">
        <v>1326</v>
      </c>
      <c r="F100" s="370" t="s">
        <v>1326</v>
      </c>
      <c r="G100" s="362" t="s">
        <v>1339</v>
      </c>
      <c r="H100" s="362" t="s">
        <v>1415</v>
      </c>
      <c r="I100" s="362"/>
      <c r="J100" s="367" t="s">
        <v>1727</v>
      </c>
      <c r="K100" s="368"/>
      <c r="L100" s="368"/>
      <c r="M100" s="368"/>
      <c r="N100" s="368"/>
      <c r="O100" s="368"/>
      <c r="P100" s="368"/>
      <c r="Q100" s="368"/>
      <c r="R100" s="368"/>
      <c r="S100" s="368"/>
      <c r="T100" s="368"/>
      <c r="U100" s="369"/>
      <c r="V100" s="370"/>
      <c r="W100" s="370"/>
      <c r="X100" s="370"/>
      <c r="Y100" s="375"/>
    </row>
    <row r="101" spans="1:25" ht="22.5" customHeight="1" thickTop="1" thickBot="1">
      <c r="A101" s="370" t="s">
        <v>1322</v>
      </c>
      <c r="B101" s="370" t="s">
        <v>1326</v>
      </c>
      <c r="C101" s="362" t="s">
        <v>1339</v>
      </c>
      <c r="D101" s="362" t="s">
        <v>1339</v>
      </c>
      <c r="E101" s="370" t="s">
        <v>1326</v>
      </c>
      <c r="F101" s="370" t="s">
        <v>1326</v>
      </c>
      <c r="G101" s="362" t="s">
        <v>1339</v>
      </c>
      <c r="H101" s="362" t="s">
        <v>1419</v>
      </c>
      <c r="I101" s="362"/>
      <c r="J101" s="367" t="s">
        <v>1728</v>
      </c>
      <c r="K101" s="368"/>
      <c r="L101" s="368"/>
      <c r="M101" s="368"/>
      <c r="N101" s="368"/>
      <c r="O101" s="368"/>
      <c r="P101" s="368"/>
      <c r="Q101" s="368"/>
      <c r="R101" s="368"/>
      <c r="S101" s="368"/>
      <c r="T101" s="368"/>
      <c r="U101" s="369"/>
      <c r="V101" s="370"/>
      <c r="W101" s="370"/>
      <c r="X101" s="370"/>
      <c r="Y101" s="375"/>
    </row>
    <row r="102" spans="1:25" ht="22.5" customHeight="1" thickTop="1" thickBot="1">
      <c r="A102" s="370" t="s">
        <v>1322</v>
      </c>
      <c r="B102" s="370" t="s">
        <v>1326</v>
      </c>
      <c r="C102" s="362" t="s">
        <v>1339</v>
      </c>
      <c r="D102" s="362" t="s">
        <v>1339</v>
      </c>
      <c r="E102" s="370" t="s">
        <v>1326</v>
      </c>
      <c r="F102" s="370" t="s">
        <v>1326</v>
      </c>
      <c r="G102" s="362" t="s">
        <v>1339</v>
      </c>
      <c r="H102" s="362" t="s">
        <v>1423</v>
      </c>
      <c r="I102" s="362"/>
      <c r="J102" s="367" t="s">
        <v>1725</v>
      </c>
      <c r="K102" s="368"/>
      <c r="L102" s="368"/>
      <c r="M102" s="368"/>
      <c r="N102" s="368"/>
      <c r="O102" s="368"/>
      <c r="P102" s="368"/>
      <c r="Q102" s="368"/>
      <c r="R102" s="368"/>
      <c r="S102" s="368"/>
      <c r="T102" s="368"/>
      <c r="U102" s="369"/>
      <c r="V102" s="370"/>
      <c r="W102" s="370"/>
      <c r="X102" s="370"/>
      <c r="Y102" s="375"/>
    </row>
    <row r="103" spans="1:25" ht="22.5" customHeight="1" thickTop="1" thickBot="1">
      <c r="A103" s="370" t="s">
        <v>1322</v>
      </c>
      <c r="B103" s="370" t="s">
        <v>1326</v>
      </c>
      <c r="C103" s="362" t="s">
        <v>1339</v>
      </c>
      <c r="D103" s="362" t="s">
        <v>1339</v>
      </c>
      <c r="E103" s="370" t="s">
        <v>1326</v>
      </c>
      <c r="F103" s="370" t="s">
        <v>1326</v>
      </c>
      <c r="G103" s="361" t="s">
        <v>1363</v>
      </c>
      <c r="H103" s="362"/>
      <c r="I103" s="362"/>
      <c r="J103" s="363" t="s">
        <v>1384</v>
      </c>
      <c r="K103" s="368"/>
      <c r="L103" s="368"/>
      <c r="M103" s="368"/>
      <c r="N103" s="368"/>
      <c r="O103" s="368"/>
      <c r="P103" s="368"/>
      <c r="Q103" s="368"/>
      <c r="R103" s="368"/>
      <c r="S103" s="368"/>
      <c r="T103" s="368"/>
      <c r="U103" s="369"/>
      <c r="V103" s="370"/>
      <c r="W103" s="370"/>
      <c r="X103" s="370"/>
      <c r="Y103" s="375" t="s">
        <v>1324</v>
      </c>
    </row>
    <row r="104" spans="1:25" ht="22.5" customHeight="1" thickTop="1" thickBot="1">
      <c r="A104" s="370" t="s">
        <v>1322</v>
      </c>
      <c r="B104" s="370" t="s">
        <v>1326</v>
      </c>
      <c r="C104" s="362" t="s">
        <v>1339</v>
      </c>
      <c r="D104" s="362" t="s">
        <v>1339</v>
      </c>
      <c r="E104" s="370" t="s">
        <v>1326</v>
      </c>
      <c r="F104" s="370" t="s">
        <v>1326</v>
      </c>
      <c r="G104" s="362" t="s">
        <v>1363</v>
      </c>
      <c r="H104" s="362" t="s">
        <v>1326</v>
      </c>
      <c r="I104" s="362"/>
      <c r="J104" s="367" t="s">
        <v>1385</v>
      </c>
      <c r="K104" s="368"/>
      <c r="L104" s="368"/>
      <c r="M104" s="368"/>
      <c r="N104" s="368"/>
      <c r="O104" s="368"/>
      <c r="P104" s="368"/>
      <c r="Q104" s="368"/>
      <c r="R104" s="368"/>
      <c r="S104" s="368"/>
      <c r="T104" s="368"/>
      <c r="U104" s="369"/>
      <c r="V104" s="370"/>
      <c r="W104" s="370"/>
      <c r="X104" s="370"/>
      <c r="Y104" s="375" t="s">
        <v>1324</v>
      </c>
    </row>
    <row r="105" spans="1:25" ht="22.5" customHeight="1" thickTop="1" thickBot="1">
      <c r="A105" s="370" t="s">
        <v>1322</v>
      </c>
      <c r="B105" s="370" t="s">
        <v>1326</v>
      </c>
      <c r="C105" s="362" t="s">
        <v>1339</v>
      </c>
      <c r="D105" s="362" t="s">
        <v>1339</v>
      </c>
      <c r="E105" s="370" t="s">
        <v>1326</v>
      </c>
      <c r="F105" s="370" t="s">
        <v>1326</v>
      </c>
      <c r="G105" s="362" t="s">
        <v>1363</v>
      </c>
      <c r="H105" s="362" t="s">
        <v>1339</v>
      </c>
      <c r="I105" s="362"/>
      <c r="J105" s="367" t="s">
        <v>1386</v>
      </c>
      <c r="K105" s="368"/>
      <c r="L105" s="368"/>
      <c r="M105" s="368"/>
      <c r="N105" s="368"/>
      <c r="O105" s="368"/>
      <c r="P105" s="368"/>
      <c r="Q105" s="368"/>
      <c r="R105" s="368"/>
      <c r="S105" s="368"/>
      <c r="T105" s="368"/>
      <c r="U105" s="369"/>
      <c r="V105" s="370"/>
      <c r="W105" s="370"/>
      <c r="X105" s="370"/>
      <c r="Y105" s="375" t="s">
        <v>1324</v>
      </c>
    </row>
    <row r="106" spans="1:25" ht="22.5" customHeight="1" thickTop="1" thickBot="1">
      <c r="A106" s="370" t="s">
        <v>1322</v>
      </c>
      <c r="B106" s="370" t="s">
        <v>1326</v>
      </c>
      <c r="C106" s="362" t="s">
        <v>1339</v>
      </c>
      <c r="D106" s="362" t="s">
        <v>1339</v>
      </c>
      <c r="E106" s="370" t="s">
        <v>1326</v>
      </c>
      <c r="F106" s="370" t="s">
        <v>1326</v>
      </c>
      <c r="G106" s="362" t="s">
        <v>1363</v>
      </c>
      <c r="H106" s="362" t="s">
        <v>1363</v>
      </c>
      <c r="I106" s="362"/>
      <c r="J106" s="367" t="s">
        <v>1729</v>
      </c>
      <c r="K106" s="368"/>
      <c r="L106" s="368"/>
      <c r="M106" s="368"/>
      <c r="N106" s="368"/>
      <c r="O106" s="368"/>
      <c r="P106" s="368"/>
      <c r="Q106" s="368"/>
      <c r="R106" s="368"/>
      <c r="S106" s="368"/>
      <c r="T106" s="368"/>
      <c r="U106" s="369"/>
      <c r="V106" s="370"/>
      <c r="W106" s="370"/>
      <c r="X106" s="370"/>
      <c r="Y106" s="375"/>
    </row>
    <row r="107" spans="1:25" ht="22.5" customHeight="1" thickTop="1" thickBot="1">
      <c r="A107" s="370" t="s">
        <v>1322</v>
      </c>
      <c r="B107" s="370" t="s">
        <v>1326</v>
      </c>
      <c r="C107" s="362" t="s">
        <v>1339</v>
      </c>
      <c r="D107" s="362" t="s">
        <v>1339</v>
      </c>
      <c r="E107" s="370" t="s">
        <v>1326</v>
      </c>
      <c r="F107" s="370" t="s">
        <v>1326</v>
      </c>
      <c r="G107" s="362" t="s">
        <v>1363</v>
      </c>
      <c r="H107" s="362" t="s">
        <v>1367</v>
      </c>
      <c r="I107" s="362"/>
      <c r="J107" s="367" t="s">
        <v>1730</v>
      </c>
      <c r="K107" s="368"/>
      <c r="L107" s="368"/>
      <c r="M107" s="368"/>
      <c r="N107" s="368"/>
      <c r="O107" s="368"/>
      <c r="P107" s="368"/>
      <c r="Q107" s="368"/>
      <c r="R107" s="368"/>
      <c r="S107" s="368"/>
      <c r="T107" s="368"/>
      <c r="U107" s="369"/>
      <c r="V107" s="370"/>
      <c r="W107" s="370"/>
      <c r="X107" s="370"/>
      <c r="Y107" s="375"/>
    </row>
    <row r="108" spans="1:25" ht="22.5" customHeight="1" thickTop="1" thickBot="1">
      <c r="A108" s="370" t="s">
        <v>1322</v>
      </c>
      <c r="B108" s="370" t="s">
        <v>1326</v>
      </c>
      <c r="C108" s="362" t="s">
        <v>1339</v>
      </c>
      <c r="D108" s="362" t="s">
        <v>1339</v>
      </c>
      <c r="E108" s="370" t="s">
        <v>1326</v>
      </c>
      <c r="F108" s="370" t="s">
        <v>1326</v>
      </c>
      <c r="G108" s="362" t="s">
        <v>1363</v>
      </c>
      <c r="H108" s="362" t="s">
        <v>1392</v>
      </c>
      <c r="I108" s="362"/>
      <c r="J108" s="367" t="s">
        <v>1731</v>
      </c>
      <c r="K108" s="368"/>
      <c r="L108" s="368"/>
      <c r="M108" s="368"/>
      <c r="N108" s="368"/>
      <c r="O108" s="368"/>
      <c r="P108" s="368"/>
      <c r="Q108" s="368"/>
      <c r="R108" s="368"/>
      <c r="S108" s="368"/>
      <c r="T108" s="368"/>
      <c r="U108" s="369"/>
      <c r="V108" s="370"/>
      <c r="W108" s="370"/>
      <c r="X108" s="370"/>
      <c r="Y108" s="375"/>
    </row>
    <row r="109" spans="1:25" ht="22.5" customHeight="1" thickTop="1" thickBot="1">
      <c r="A109" s="370" t="s">
        <v>1322</v>
      </c>
      <c r="B109" s="370" t="s">
        <v>1326</v>
      </c>
      <c r="C109" s="362" t="s">
        <v>1339</v>
      </c>
      <c r="D109" s="362" t="s">
        <v>1339</v>
      </c>
      <c r="E109" s="370" t="s">
        <v>1326</v>
      </c>
      <c r="F109" s="370" t="s">
        <v>1326</v>
      </c>
      <c r="G109" s="362" t="s">
        <v>1363</v>
      </c>
      <c r="H109" s="362" t="s">
        <v>1415</v>
      </c>
      <c r="I109" s="362"/>
      <c r="J109" s="367" t="s">
        <v>1732</v>
      </c>
      <c r="K109" s="368"/>
      <c r="L109" s="368"/>
      <c r="M109" s="368"/>
      <c r="N109" s="368"/>
      <c r="O109" s="368"/>
      <c r="P109" s="368"/>
      <c r="Q109" s="368"/>
      <c r="R109" s="368"/>
      <c r="S109" s="368"/>
      <c r="T109" s="368"/>
      <c r="U109" s="369"/>
      <c r="V109" s="370"/>
      <c r="W109" s="370"/>
      <c r="X109" s="370"/>
      <c r="Y109" s="375"/>
    </row>
    <row r="110" spans="1:25" ht="22.5" customHeight="1" thickTop="1" thickBot="1">
      <c r="A110" s="370" t="s">
        <v>1322</v>
      </c>
      <c r="B110" s="370" t="s">
        <v>1326</v>
      </c>
      <c r="C110" s="362" t="s">
        <v>1339</v>
      </c>
      <c r="D110" s="362" t="s">
        <v>1339</v>
      </c>
      <c r="E110" s="370" t="s">
        <v>1326</v>
      </c>
      <c r="F110" s="370" t="s">
        <v>1326</v>
      </c>
      <c r="G110" s="362" t="s">
        <v>1363</v>
      </c>
      <c r="H110" s="362" t="s">
        <v>1419</v>
      </c>
      <c r="I110" s="362"/>
      <c r="J110" s="367" t="s">
        <v>1733</v>
      </c>
      <c r="K110" s="368"/>
      <c r="L110" s="368"/>
      <c r="M110" s="368"/>
      <c r="N110" s="368"/>
      <c r="O110" s="368"/>
      <c r="P110" s="368"/>
      <c r="Q110" s="368"/>
      <c r="R110" s="368"/>
      <c r="S110" s="368"/>
      <c r="T110" s="368"/>
      <c r="U110" s="369"/>
      <c r="V110" s="370"/>
      <c r="W110" s="370"/>
      <c r="X110" s="370"/>
      <c r="Y110" s="375"/>
    </row>
    <row r="111" spans="1:25" ht="22.5" customHeight="1" thickTop="1" thickBot="1">
      <c r="A111" s="370" t="s">
        <v>1322</v>
      </c>
      <c r="B111" s="370" t="s">
        <v>1326</v>
      </c>
      <c r="C111" s="362" t="s">
        <v>1339</v>
      </c>
      <c r="D111" s="362" t="s">
        <v>1339</v>
      </c>
      <c r="E111" s="370" t="s">
        <v>1326</v>
      </c>
      <c r="F111" s="370" t="s">
        <v>1326</v>
      </c>
      <c r="G111" s="362" t="s">
        <v>1363</v>
      </c>
      <c r="H111" s="362" t="s">
        <v>1423</v>
      </c>
      <c r="I111" s="362"/>
      <c r="J111" s="367" t="s">
        <v>1730</v>
      </c>
      <c r="K111" s="368"/>
      <c r="L111" s="368"/>
      <c r="M111" s="368"/>
      <c r="N111" s="368"/>
      <c r="O111" s="368"/>
      <c r="P111" s="368"/>
      <c r="Q111" s="368"/>
      <c r="R111" s="368"/>
      <c r="S111" s="368"/>
      <c r="T111" s="368"/>
      <c r="U111" s="369"/>
      <c r="V111" s="370"/>
      <c r="W111" s="370"/>
      <c r="X111" s="370"/>
      <c r="Y111" s="375"/>
    </row>
    <row r="112" spans="1:25" ht="22.5" customHeight="1" thickTop="1" thickBot="1">
      <c r="A112" s="370" t="s">
        <v>1322</v>
      </c>
      <c r="B112" s="370" t="s">
        <v>1326</v>
      </c>
      <c r="C112" s="362" t="s">
        <v>1339</v>
      </c>
      <c r="D112" s="362" t="s">
        <v>1339</v>
      </c>
      <c r="E112" s="370" t="s">
        <v>1326</v>
      </c>
      <c r="F112" s="370" t="s">
        <v>1326</v>
      </c>
      <c r="G112" s="361" t="s">
        <v>1367</v>
      </c>
      <c r="H112" s="362"/>
      <c r="I112" s="362"/>
      <c r="J112" s="363" t="s">
        <v>1387</v>
      </c>
      <c r="K112" s="368"/>
      <c r="L112" s="368"/>
      <c r="M112" s="368"/>
      <c r="N112" s="368"/>
      <c r="O112" s="368"/>
      <c r="P112" s="368"/>
      <c r="Q112" s="368"/>
      <c r="R112" s="368"/>
      <c r="S112" s="368"/>
      <c r="T112" s="368"/>
      <c r="U112" s="369"/>
      <c r="V112" s="370"/>
      <c r="W112" s="370" t="s">
        <v>1388</v>
      </c>
      <c r="X112" s="370" t="s">
        <v>1389</v>
      </c>
      <c r="Y112" s="375" t="s">
        <v>1324</v>
      </c>
    </row>
    <row r="113" spans="1:25" ht="22.5" customHeight="1" thickTop="1" thickBot="1">
      <c r="A113" s="370" t="s">
        <v>1322</v>
      </c>
      <c r="B113" s="370" t="s">
        <v>1326</v>
      </c>
      <c r="C113" s="362" t="s">
        <v>1339</v>
      </c>
      <c r="D113" s="362" t="s">
        <v>1339</v>
      </c>
      <c r="E113" s="370" t="s">
        <v>1326</v>
      </c>
      <c r="F113" s="370" t="s">
        <v>1326</v>
      </c>
      <c r="G113" s="362" t="s">
        <v>1367</v>
      </c>
      <c r="H113" s="362" t="s">
        <v>1326</v>
      </c>
      <c r="I113" s="362"/>
      <c r="J113" s="367" t="s">
        <v>1390</v>
      </c>
      <c r="K113" s="368"/>
      <c r="L113" s="368"/>
      <c r="M113" s="368"/>
      <c r="N113" s="368"/>
      <c r="O113" s="368"/>
      <c r="P113" s="368"/>
      <c r="Q113" s="368"/>
      <c r="R113" s="368"/>
      <c r="S113" s="368"/>
      <c r="T113" s="368"/>
      <c r="U113" s="369"/>
      <c r="V113" s="370"/>
      <c r="W113" s="370"/>
      <c r="X113" s="370"/>
      <c r="Y113" s="375" t="s">
        <v>1324</v>
      </c>
    </row>
    <row r="114" spans="1:25" ht="22.5" customHeight="1" thickTop="1" thickBot="1">
      <c r="A114" s="370" t="s">
        <v>1322</v>
      </c>
      <c r="B114" s="370" t="s">
        <v>1326</v>
      </c>
      <c r="C114" s="362" t="s">
        <v>1339</v>
      </c>
      <c r="D114" s="362" t="s">
        <v>1339</v>
      </c>
      <c r="E114" s="370" t="s">
        <v>1326</v>
      </c>
      <c r="F114" s="370" t="s">
        <v>1326</v>
      </c>
      <c r="G114" s="362" t="s">
        <v>1367</v>
      </c>
      <c r="H114" s="362" t="s">
        <v>1339</v>
      </c>
      <c r="I114" s="362"/>
      <c r="J114" s="367" t="s">
        <v>1391</v>
      </c>
      <c r="K114" s="368"/>
      <c r="L114" s="368"/>
      <c r="M114" s="368"/>
      <c r="N114" s="368"/>
      <c r="O114" s="368"/>
      <c r="P114" s="368"/>
      <c r="Q114" s="368"/>
      <c r="R114" s="368"/>
      <c r="S114" s="368"/>
      <c r="T114" s="368"/>
      <c r="U114" s="369"/>
      <c r="V114" s="370"/>
      <c r="W114" s="370"/>
      <c r="X114" s="370"/>
      <c r="Y114" s="375" t="s">
        <v>1324</v>
      </c>
    </row>
    <row r="115" spans="1:25" ht="22.5" customHeight="1" thickTop="1" thickBot="1">
      <c r="A115" s="370" t="s">
        <v>1322</v>
      </c>
      <c r="B115" s="370" t="s">
        <v>1326</v>
      </c>
      <c r="C115" s="362" t="s">
        <v>1339</v>
      </c>
      <c r="D115" s="362" t="s">
        <v>1339</v>
      </c>
      <c r="E115" s="370" t="s">
        <v>1326</v>
      </c>
      <c r="F115" s="370" t="s">
        <v>1326</v>
      </c>
      <c r="G115" s="362" t="s">
        <v>1367</v>
      </c>
      <c r="H115" s="362" t="s">
        <v>1363</v>
      </c>
      <c r="I115" s="362"/>
      <c r="J115" s="367" t="s">
        <v>1734</v>
      </c>
      <c r="K115" s="368"/>
      <c r="L115" s="368"/>
      <c r="M115" s="368"/>
      <c r="N115" s="368"/>
      <c r="O115" s="368"/>
      <c r="P115" s="368"/>
      <c r="Q115" s="368"/>
      <c r="R115" s="368"/>
      <c r="S115" s="368"/>
      <c r="T115" s="368"/>
      <c r="U115" s="369"/>
      <c r="V115" s="370"/>
      <c r="W115" s="370"/>
      <c r="X115" s="370"/>
      <c r="Y115" s="375"/>
    </row>
    <row r="116" spans="1:25" ht="22.5" customHeight="1" thickTop="1" thickBot="1">
      <c r="A116" s="370" t="s">
        <v>1322</v>
      </c>
      <c r="B116" s="370" t="s">
        <v>1326</v>
      </c>
      <c r="C116" s="362" t="s">
        <v>1339</v>
      </c>
      <c r="D116" s="362" t="s">
        <v>1339</v>
      </c>
      <c r="E116" s="370" t="s">
        <v>1326</v>
      </c>
      <c r="F116" s="370" t="s">
        <v>1326</v>
      </c>
      <c r="G116" s="362" t="s">
        <v>1367</v>
      </c>
      <c r="H116" s="362" t="s">
        <v>1367</v>
      </c>
      <c r="I116" s="362"/>
      <c r="J116" s="367" t="s">
        <v>1735</v>
      </c>
      <c r="K116" s="368"/>
      <c r="L116" s="368"/>
      <c r="M116" s="368"/>
      <c r="N116" s="368"/>
      <c r="O116" s="368"/>
      <c r="P116" s="368"/>
      <c r="Q116" s="368"/>
      <c r="R116" s="368"/>
      <c r="S116" s="368"/>
      <c r="T116" s="368"/>
      <c r="U116" s="369"/>
      <c r="V116" s="370"/>
      <c r="W116" s="370"/>
      <c r="X116" s="370"/>
      <c r="Y116" s="375"/>
    </row>
    <row r="117" spans="1:25" ht="22.5" customHeight="1" thickTop="1" thickBot="1">
      <c r="A117" s="370" t="s">
        <v>1322</v>
      </c>
      <c r="B117" s="370" t="s">
        <v>1326</v>
      </c>
      <c r="C117" s="362" t="s">
        <v>1339</v>
      </c>
      <c r="D117" s="362" t="s">
        <v>1339</v>
      </c>
      <c r="E117" s="370" t="s">
        <v>1326</v>
      </c>
      <c r="F117" s="370" t="s">
        <v>1326</v>
      </c>
      <c r="G117" s="362" t="s">
        <v>1367</v>
      </c>
      <c r="H117" s="362" t="s">
        <v>1392</v>
      </c>
      <c r="I117" s="362"/>
      <c r="J117" s="367" t="s">
        <v>1736</v>
      </c>
      <c r="K117" s="368"/>
      <c r="L117" s="368"/>
      <c r="M117" s="368"/>
      <c r="N117" s="368"/>
      <c r="O117" s="368"/>
      <c r="P117" s="368"/>
      <c r="Q117" s="368"/>
      <c r="R117" s="368"/>
      <c r="S117" s="368"/>
      <c r="T117" s="368"/>
      <c r="U117" s="369"/>
      <c r="V117" s="370"/>
      <c r="W117" s="370"/>
      <c r="X117" s="370"/>
      <c r="Y117" s="375"/>
    </row>
    <row r="118" spans="1:25" ht="22.5" customHeight="1" thickTop="1" thickBot="1">
      <c r="A118" s="370" t="s">
        <v>1322</v>
      </c>
      <c r="B118" s="370" t="s">
        <v>1326</v>
      </c>
      <c r="C118" s="362" t="s">
        <v>1339</v>
      </c>
      <c r="D118" s="362" t="s">
        <v>1339</v>
      </c>
      <c r="E118" s="370" t="s">
        <v>1326</v>
      </c>
      <c r="F118" s="370" t="s">
        <v>1326</v>
      </c>
      <c r="G118" s="362" t="s">
        <v>1367</v>
      </c>
      <c r="H118" s="362" t="s">
        <v>1415</v>
      </c>
      <c r="I118" s="362"/>
      <c r="J118" s="367" t="s">
        <v>1737</v>
      </c>
      <c r="K118" s="368"/>
      <c r="L118" s="368"/>
      <c r="M118" s="368"/>
      <c r="N118" s="368"/>
      <c r="O118" s="368"/>
      <c r="P118" s="368"/>
      <c r="Q118" s="368"/>
      <c r="R118" s="368"/>
      <c r="S118" s="368"/>
      <c r="T118" s="368"/>
      <c r="U118" s="369"/>
      <c r="V118" s="370"/>
      <c r="W118" s="370"/>
      <c r="X118" s="370"/>
      <c r="Y118" s="375"/>
    </row>
    <row r="119" spans="1:25" ht="22.5" customHeight="1" thickTop="1" thickBot="1">
      <c r="A119" s="370" t="s">
        <v>1322</v>
      </c>
      <c r="B119" s="370" t="s">
        <v>1326</v>
      </c>
      <c r="C119" s="362" t="s">
        <v>1339</v>
      </c>
      <c r="D119" s="362" t="s">
        <v>1339</v>
      </c>
      <c r="E119" s="370" t="s">
        <v>1326</v>
      </c>
      <c r="F119" s="370" t="s">
        <v>1326</v>
      </c>
      <c r="G119" s="362" t="s">
        <v>1367</v>
      </c>
      <c r="H119" s="362" t="s">
        <v>1419</v>
      </c>
      <c r="I119" s="362"/>
      <c r="J119" s="367" t="s">
        <v>1738</v>
      </c>
      <c r="K119" s="368"/>
      <c r="L119" s="368"/>
      <c r="M119" s="368"/>
      <c r="N119" s="368"/>
      <c r="O119" s="368"/>
      <c r="P119" s="368"/>
      <c r="Q119" s="368"/>
      <c r="R119" s="368"/>
      <c r="S119" s="368"/>
      <c r="T119" s="368"/>
      <c r="U119" s="369"/>
      <c r="V119" s="370"/>
      <c r="W119" s="370"/>
      <c r="X119" s="370"/>
      <c r="Y119" s="375"/>
    </row>
    <row r="120" spans="1:25" ht="22.5" customHeight="1" thickTop="1" thickBot="1">
      <c r="A120" s="370" t="s">
        <v>1322</v>
      </c>
      <c r="B120" s="370" t="s">
        <v>1326</v>
      </c>
      <c r="C120" s="362" t="s">
        <v>1339</v>
      </c>
      <c r="D120" s="362" t="s">
        <v>1339</v>
      </c>
      <c r="E120" s="370" t="s">
        <v>1326</v>
      </c>
      <c r="F120" s="370" t="s">
        <v>1326</v>
      </c>
      <c r="G120" s="362" t="s">
        <v>1367</v>
      </c>
      <c r="H120" s="362" t="s">
        <v>1423</v>
      </c>
      <c r="I120" s="362"/>
      <c r="J120" s="367" t="s">
        <v>1735</v>
      </c>
      <c r="K120" s="368"/>
      <c r="L120" s="368"/>
      <c r="M120" s="368"/>
      <c r="N120" s="368"/>
      <c r="O120" s="368"/>
      <c r="P120" s="368"/>
      <c r="Q120" s="368"/>
      <c r="R120" s="368"/>
      <c r="S120" s="368"/>
      <c r="T120" s="368"/>
      <c r="U120" s="369"/>
      <c r="V120" s="370"/>
      <c r="W120" s="370"/>
      <c r="X120" s="370"/>
      <c r="Y120" s="375"/>
    </row>
    <row r="121" spans="1:25" ht="22.5" customHeight="1" thickTop="1" thickBot="1">
      <c r="A121" s="370" t="s">
        <v>1322</v>
      </c>
      <c r="B121" s="370" t="s">
        <v>1326</v>
      </c>
      <c r="C121" s="362" t="s">
        <v>1339</v>
      </c>
      <c r="D121" s="362" t="s">
        <v>1339</v>
      </c>
      <c r="E121" s="370" t="s">
        <v>1326</v>
      </c>
      <c r="F121" s="370" t="s">
        <v>1326</v>
      </c>
      <c r="G121" s="361" t="s">
        <v>1392</v>
      </c>
      <c r="H121" s="362"/>
      <c r="I121" s="362"/>
      <c r="J121" s="363" t="s">
        <v>1393</v>
      </c>
      <c r="K121" s="373"/>
      <c r="L121" s="373"/>
      <c r="M121" s="373"/>
      <c r="N121" s="373"/>
      <c r="O121" s="373"/>
      <c r="P121" s="373"/>
      <c r="Q121" s="373"/>
      <c r="R121" s="373"/>
      <c r="S121" s="373"/>
      <c r="T121" s="373"/>
      <c r="U121" s="374"/>
      <c r="V121" s="370"/>
      <c r="W121" s="370"/>
      <c r="X121" s="370"/>
      <c r="Y121" s="375" t="s">
        <v>1324</v>
      </c>
    </row>
    <row r="122" spans="1:25" ht="22.5" customHeight="1" thickTop="1" thickBot="1">
      <c r="A122" s="370" t="s">
        <v>1322</v>
      </c>
      <c r="B122" s="370" t="s">
        <v>1326</v>
      </c>
      <c r="C122" s="362" t="s">
        <v>1339</v>
      </c>
      <c r="D122" s="362" t="s">
        <v>1339</v>
      </c>
      <c r="E122" s="370" t="s">
        <v>1326</v>
      </c>
      <c r="F122" s="370" t="s">
        <v>1326</v>
      </c>
      <c r="G122" s="362" t="s">
        <v>1392</v>
      </c>
      <c r="H122" s="362" t="s">
        <v>1326</v>
      </c>
      <c r="I122" s="362"/>
      <c r="J122" s="367" t="s">
        <v>1394</v>
      </c>
      <c r="K122" s="373"/>
      <c r="L122" s="373"/>
      <c r="M122" s="373"/>
      <c r="N122" s="373"/>
      <c r="O122" s="373"/>
      <c r="P122" s="373"/>
      <c r="Q122" s="373"/>
      <c r="R122" s="373"/>
      <c r="S122" s="373"/>
      <c r="T122" s="373"/>
      <c r="U122" s="374"/>
      <c r="V122" s="370"/>
      <c r="W122" s="370"/>
      <c r="X122" s="370"/>
      <c r="Y122" s="375" t="s">
        <v>1324</v>
      </c>
    </row>
    <row r="123" spans="1:25" ht="22.5" customHeight="1" thickTop="1" thickBot="1">
      <c r="A123" s="370" t="s">
        <v>1322</v>
      </c>
      <c r="B123" s="370" t="s">
        <v>1326</v>
      </c>
      <c r="C123" s="362" t="s">
        <v>1339</v>
      </c>
      <c r="D123" s="362" t="s">
        <v>1339</v>
      </c>
      <c r="E123" s="370" t="s">
        <v>1326</v>
      </c>
      <c r="F123" s="370" t="s">
        <v>1326</v>
      </c>
      <c r="G123" s="362" t="s">
        <v>1392</v>
      </c>
      <c r="H123" s="362" t="s">
        <v>1339</v>
      </c>
      <c r="I123" s="362"/>
      <c r="J123" s="367" t="s">
        <v>1395</v>
      </c>
      <c r="K123" s="373"/>
      <c r="L123" s="373"/>
      <c r="M123" s="373"/>
      <c r="N123" s="373"/>
      <c r="O123" s="373"/>
      <c r="P123" s="373"/>
      <c r="Q123" s="373"/>
      <c r="R123" s="373"/>
      <c r="S123" s="373"/>
      <c r="T123" s="373"/>
      <c r="U123" s="374"/>
      <c r="V123" s="370"/>
      <c r="W123" s="370"/>
      <c r="X123" s="370"/>
      <c r="Y123" s="375" t="s">
        <v>1324</v>
      </c>
    </row>
    <row r="124" spans="1:25" ht="22.5" customHeight="1" thickTop="1" thickBot="1">
      <c r="A124" s="370" t="s">
        <v>1322</v>
      </c>
      <c r="B124" s="370" t="s">
        <v>1326</v>
      </c>
      <c r="C124" s="362" t="s">
        <v>1339</v>
      </c>
      <c r="D124" s="362" t="s">
        <v>1339</v>
      </c>
      <c r="E124" s="370" t="s">
        <v>1326</v>
      </c>
      <c r="F124" s="370" t="s">
        <v>1326</v>
      </c>
      <c r="G124" s="362" t="s">
        <v>1392</v>
      </c>
      <c r="H124" s="362" t="s">
        <v>1363</v>
      </c>
      <c r="I124" s="362"/>
      <c r="J124" s="367" t="s">
        <v>1744</v>
      </c>
      <c r="K124" s="373"/>
      <c r="L124" s="373"/>
      <c r="M124" s="373"/>
      <c r="N124" s="373"/>
      <c r="O124" s="373"/>
      <c r="P124" s="373"/>
      <c r="Q124" s="373"/>
      <c r="R124" s="373"/>
      <c r="S124" s="373"/>
      <c r="T124" s="373"/>
      <c r="U124" s="374"/>
      <c r="V124" s="370"/>
      <c r="W124" s="370"/>
      <c r="X124" s="370"/>
      <c r="Y124" s="375"/>
    </row>
    <row r="125" spans="1:25" ht="22.5" customHeight="1" thickTop="1" thickBot="1">
      <c r="A125" s="370" t="s">
        <v>1322</v>
      </c>
      <c r="B125" s="370" t="s">
        <v>1326</v>
      </c>
      <c r="C125" s="362" t="s">
        <v>1339</v>
      </c>
      <c r="D125" s="362" t="s">
        <v>1339</v>
      </c>
      <c r="E125" s="370" t="s">
        <v>1326</v>
      </c>
      <c r="F125" s="370" t="s">
        <v>1326</v>
      </c>
      <c r="G125" s="362" t="s">
        <v>1392</v>
      </c>
      <c r="H125" s="362" t="s">
        <v>1367</v>
      </c>
      <c r="I125" s="362"/>
      <c r="J125" s="367" t="s">
        <v>1745</v>
      </c>
      <c r="K125" s="373"/>
      <c r="L125" s="373"/>
      <c r="M125" s="373"/>
      <c r="N125" s="373"/>
      <c r="O125" s="373"/>
      <c r="P125" s="373"/>
      <c r="Q125" s="373"/>
      <c r="R125" s="373"/>
      <c r="S125" s="373"/>
      <c r="T125" s="373"/>
      <c r="U125" s="374"/>
      <c r="V125" s="370"/>
      <c r="W125" s="370"/>
      <c r="X125" s="370"/>
      <c r="Y125" s="375"/>
    </row>
    <row r="126" spans="1:25" ht="22.5" customHeight="1" thickTop="1" thickBot="1">
      <c r="A126" s="370" t="s">
        <v>1322</v>
      </c>
      <c r="B126" s="370" t="s">
        <v>1326</v>
      </c>
      <c r="C126" s="362" t="s">
        <v>1339</v>
      </c>
      <c r="D126" s="362" t="s">
        <v>1339</v>
      </c>
      <c r="E126" s="370" t="s">
        <v>1326</v>
      </c>
      <c r="F126" s="370" t="s">
        <v>1326</v>
      </c>
      <c r="G126" s="362" t="s">
        <v>1392</v>
      </c>
      <c r="H126" s="362" t="s">
        <v>1392</v>
      </c>
      <c r="I126" s="362"/>
      <c r="J126" s="367" t="s">
        <v>1746</v>
      </c>
      <c r="K126" s="373"/>
      <c r="L126" s="373"/>
      <c r="M126" s="373"/>
      <c r="N126" s="373"/>
      <c r="O126" s="373"/>
      <c r="P126" s="373"/>
      <c r="Q126" s="373"/>
      <c r="R126" s="373"/>
      <c r="S126" s="373"/>
      <c r="T126" s="373"/>
      <c r="U126" s="374"/>
      <c r="V126" s="370"/>
      <c r="W126" s="370"/>
      <c r="X126" s="370"/>
      <c r="Y126" s="375"/>
    </row>
    <row r="127" spans="1:25" ht="22.5" customHeight="1" thickTop="1" thickBot="1">
      <c r="A127" s="370" t="s">
        <v>1322</v>
      </c>
      <c r="B127" s="370" t="s">
        <v>1326</v>
      </c>
      <c r="C127" s="362" t="s">
        <v>1339</v>
      </c>
      <c r="D127" s="362" t="s">
        <v>1339</v>
      </c>
      <c r="E127" s="370" t="s">
        <v>1326</v>
      </c>
      <c r="F127" s="370" t="s">
        <v>1326</v>
      </c>
      <c r="G127" s="362" t="s">
        <v>1392</v>
      </c>
      <c r="H127" s="362" t="s">
        <v>1415</v>
      </c>
      <c r="I127" s="362"/>
      <c r="J127" s="367" t="s">
        <v>1747</v>
      </c>
      <c r="K127" s="373"/>
      <c r="L127" s="373"/>
      <c r="M127" s="373"/>
      <c r="N127" s="373"/>
      <c r="O127" s="373"/>
      <c r="P127" s="373"/>
      <c r="Q127" s="373"/>
      <c r="R127" s="373"/>
      <c r="S127" s="373"/>
      <c r="T127" s="373"/>
      <c r="U127" s="374"/>
      <c r="V127" s="370"/>
      <c r="W127" s="370"/>
      <c r="X127" s="370"/>
      <c r="Y127" s="375"/>
    </row>
    <row r="128" spans="1:25" ht="22.5" customHeight="1" thickTop="1" thickBot="1">
      <c r="A128" s="370" t="s">
        <v>1322</v>
      </c>
      <c r="B128" s="370" t="s">
        <v>1326</v>
      </c>
      <c r="C128" s="362" t="s">
        <v>1339</v>
      </c>
      <c r="D128" s="362" t="s">
        <v>1339</v>
      </c>
      <c r="E128" s="370" t="s">
        <v>1326</v>
      </c>
      <c r="F128" s="370" t="s">
        <v>1326</v>
      </c>
      <c r="G128" s="362" t="s">
        <v>1392</v>
      </c>
      <c r="H128" s="362" t="s">
        <v>1419</v>
      </c>
      <c r="I128" s="362"/>
      <c r="J128" s="367" t="s">
        <v>1748</v>
      </c>
      <c r="K128" s="373"/>
      <c r="L128" s="373"/>
      <c r="M128" s="373"/>
      <c r="N128" s="373"/>
      <c r="O128" s="373"/>
      <c r="P128" s="373"/>
      <c r="Q128" s="373"/>
      <c r="R128" s="373"/>
      <c r="S128" s="373"/>
      <c r="T128" s="373"/>
      <c r="U128" s="374"/>
      <c r="V128" s="370"/>
      <c r="W128" s="370"/>
      <c r="X128" s="370"/>
      <c r="Y128" s="375"/>
    </row>
    <row r="129" spans="1:25" ht="22.5" customHeight="1" thickTop="1" thickBot="1">
      <c r="A129" s="370" t="s">
        <v>1322</v>
      </c>
      <c r="B129" s="370" t="s">
        <v>1326</v>
      </c>
      <c r="C129" s="362" t="s">
        <v>1339</v>
      </c>
      <c r="D129" s="362" t="s">
        <v>1339</v>
      </c>
      <c r="E129" s="370" t="s">
        <v>1326</v>
      </c>
      <c r="F129" s="370" t="s">
        <v>1326</v>
      </c>
      <c r="G129" s="362" t="s">
        <v>1392</v>
      </c>
      <c r="H129" s="362" t="s">
        <v>1423</v>
      </c>
      <c r="I129" s="362"/>
      <c r="J129" s="367" t="s">
        <v>1745</v>
      </c>
      <c r="K129" s="373"/>
      <c r="L129" s="373"/>
      <c r="M129" s="373"/>
      <c r="N129" s="373"/>
      <c r="O129" s="373"/>
      <c r="P129" s="373"/>
      <c r="Q129" s="373"/>
      <c r="R129" s="373"/>
      <c r="S129" s="373"/>
      <c r="T129" s="373"/>
      <c r="U129" s="374"/>
      <c r="V129" s="370"/>
      <c r="W129" s="370"/>
      <c r="X129" s="370"/>
      <c r="Y129" s="375"/>
    </row>
    <row r="130" spans="1:25" ht="22.5" customHeight="1" thickTop="1" thickBot="1">
      <c r="A130" s="355">
        <v>1</v>
      </c>
      <c r="B130" s="356" t="s">
        <v>1326</v>
      </c>
      <c r="C130" s="356" t="s">
        <v>1339</v>
      </c>
      <c r="D130" s="356" t="s">
        <v>1339</v>
      </c>
      <c r="E130" s="356" t="s">
        <v>1339</v>
      </c>
      <c r="F130" s="357"/>
      <c r="G130" s="357"/>
      <c r="H130" s="357"/>
      <c r="I130" s="357"/>
      <c r="J130" s="358" t="s">
        <v>1396</v>
      </c>
      <c r="K130" s="376"/>
      <c r="L130" s="376"/>
      <c r="M130" s="376"/>
      <c r="N130" s="376"/>
      <c r="O130" s="376"/>
      <c r="P130" s="376"/>
      <c r="Q130" s="376"/>
      <c r="R130" s="376"/>
      <c r="S130" s="376"/>
      <c r="T130" s="376"/>
      <c r="U130" s="360"/>
      <c r="V130" s="356"/>
      <c r="W130" s="355" t="s">
        <v>1397</v>
      </c>
      <c r="X130" s="355" t="s">
        <v>1398</v>
      </c>
      <c r="Y130" s="342" t="s">
        <v>1324</v>
      </c>
    </row>
    <row r="131" spans="1:25" ht="22.5" customHeight="1" thickTop="1" thickBot="1">
      <c r="A131" s="370">
        <v>1</v>
      </c>
      <c r="B131" s="370" t="s">
        <v>1326</v>
      </c>
      <c r="C131" s="362" t="s">
        <v>1339</v>
      </c>
      <c r="D131" s="362" t="s">
        <v>1339</v>
      </c>
      <c r="E131" s="370" t="s">
        <v>1339</v>
      </c>
      <c r="F131" s="361" t="s">
        <v>1326</v>
      </c>
      <c r="G131" s="362"/>
      <c r="H131" s="362"/>
      <c r="I131" s="362"/>
      <c r="J131" s="363" t="s">
        <v>1399</v>
      </c>
      <c r="K131" s="377"/>
      <c r="L131" s="377"/>
      <c r="M131" s="377"/>
      <c r="N131" s="377"/>
      <c r="O131" s="377"/>
      <c r="P131" s="377"/>
      <c r="Q131" s="377"/>
      <c r="R131" s="377"/>
      <c r="S131" s="377"/>
      <c r="T131" s="377"/>
      <c r="U131" s="372"/>
      <c r="V131" s="361"/>
      <c r="W131" s="370" t="s">
        <v>1400</v>
      </c>
      <c r="X131" s="370"/>
      <c r="Y131" s="342" t="s">
        <v>1324</v>
      </c>
    </row>
    <row r="132" spans="1:25" ht="22.5" customHeight="1" thickTop="1" thickBot="1">
      <c r="A132" s="370">
        <v>1</v>
      </c>
      <c r="B132" s="370" t="s">
        <v>1326</v>
      </c>
      <c r="C132" s="362" t="s">
        <v>1339</v>
      </c>
      <c r="D132" s="362" t="s">
        <v>1339</v>
      </c>
      <c r="E132" s="370" t="s">
        <v>1339</v>
      </c>
      <c r="F132" s="362" t="s">
        <v>1326</v>
      </c>
      <c r="G132" s="361" t="s">
        <v>1326</v>
      </c>
      <c r="H132" s="362"/>
      <c r="I132" s="362"/>
      <c r="J132" s="367" t="s">
        <v>1401</v>
      </c>
      <c r="K132" s="378"/>
      <c r="L132" s="378"/>
      <c r="M132" s="378"/>
      <c r="N132" s="378"/>
      <c r="O132" s="378"/>
      <c r="P132" s="378"/>
      <c r="Q132" s="378"/>
      <c r="R132" s="378"/>
      <c r="S132" s="378"/>
      <c r="T132" s="378"/>
      <c r="U132" s="374"/>
      <c r="V132" s="361"/>
      <c r="W132" s="370"/>
      <c r="X132" s="370"/>
      <c r="Y132" s="342" t="s">
        <v>1324</v>
      </c>
    </row>
    <row r="133" spans="1:25" ht="22.5" customHeight="1" thickTop="1" thickBot="1">
      <c r="A133" s="370">
        <v>1</v>
      </c>
      <c r="B133" s="370" t="s">
        <v>1326</v>
      </c>
      <c r="C133" s="362" t="s">
        <v>1339</v>
      </c>
      <c r="D133" s="362" t="s">
        <v>1339</v>
      </c>
      <c r="E133" s="370" t="s">
        <v>1339</v>
      </c>
      <c r="F133" s="362" t="s">
        <v>1326</v>
      </c>
      <c r="G133" s="361" t="s">
        <v>1339</v>
      </c>
      <c r="H133" s="362"/>
      <c r="I133" s="362"/>
      <c r="J133" s="367" t="s">
        <v>1402</v>
      </c>
      <c r="K133" s="378"/>
      <c r="L133" s="378"/>
      <c r="M133" s="378"/>
      <c r="N133" s="378"/>
      <c r="O133" s="378"/>
      <c r="P133" s="378"/>
      <c r="Q133" s="378"/>
      <c r="R133" s="378"/>
      <c r="S133" s="378"/>
      <c r="T133" s="378"/>
      <c r="U133" s="374"/>
      <c r="V133" s="361"/>
      <c r="W133" s="370"/>
      <c r="X133" s="370"/>
      <c r="Y133" s="342" t="s">
        <v>1324</v>
      </c>
    </row>
    <row r="134" spans="1:25" ht="22.5" customHeight="1" thickTop="1" thickBot="1">
      <c r="A134" s="370">
        <v>1</v>
      </c>
      <c r="B134" s="370" t="s">
        <v>1326</v>
      </c>
      <c r="C134" s="362" t="s">
        <v>1339</v>
      </c>
      <c r="D134" s="362" t="s">
        <v>1339</v>
      </c>
      <c r="E134" s="370" t="s">
        <v>1339</v>
      </c>
      <c r="F134" s="362" t="s">
        <v>1326</v>
      </c>
      <c r="G134" s="361" t="s">
        <v>1363</v>
      </c>
      <c r="H134" s="362"/>
      <c r="I134" s="362"/>
      <c r="J134" s="367" t="s">
        <v>1739</v>
      </c>
      <c r="K134" s="378"/>
      <c r="L134" s="378"/>
      <c r="M134" s="378"/>
      <c r="N134" s="378"/>
      <c r="O134" s="378"/>
      <c r="P134" s="378"/>
      <c r="Q134" s="378"/>
      <c r="R134" s="378"/>
      <c r="S134" s="378"/>
      <c r="T134" s="378"/>
      <c r="U134" s="374"/>
      <c r="V134" s="361"/>
      <c r="W134" s="370"/>
      <c r="X134" s="370"/>
      <c r="Y134" s="342"/>
    </row>
    <row r="135" spans="1:25" ht="22.5" customHeight="1" thickTop="1" thickBot="1">
      <c r="A135" s="370">
        <v>1</v>
      </c>
      <c r="B135" s="370" t="s">
        <v>1326</v>
      </c>
      <c r="C135" s="362" t="s">
        <v>1339</v>
      </c>
      <c r="D135" s="362" t="s">
        <v>1339</v>
      </c>
      <c r="E135" s="370" t="s">
        <v>1339</v>
      </c>
      <c r="F135" s="362" t="s">
        <v>1326</v>
      </c>
      <c r="G135" s="361" t="s">
        <v>1367</v>
      </c>
      <c r="H135" s="362"/>
      <c r="I135" s="362"/>
      <c r="J135" s="367" t="s">
        <v>1740</v>
      </c>
      <c r="K135" s="378"/>
      <c r="L135" s="378"/>
      <c r="M135" s="378"/>
      <c r="N135" s="378"/>
      <c r="O135" s="378"/>
      <c r="P135" s="378"/>
      <c r="Q135" s="378"/>
      <c r="R135" s="378"/>
      <c r="S135" s="378"/>
      <c r="T135" s="378"/>
      <c r="U135" s="374"/>
      <c r="V135" s="361"/>
      <c r="W135" s="370"/>
      <c r="X135" s="370"/>
      <c r="Y135" s="342"/>
    </row>
    <row r="136" spans="1:25" ht="22.5" customHeight="1" thickTop="1" thickBot="1">
      <c r="A136" s="370">
        <v>1</v>
      </c>
      <c r="B136" s="370" t="s">
        <v>1326</v>
      </c>
      <c r="C136" s="362" t="s">
        <v>1339</v>
      </c>
      <c r="D136" s="362" t="s">
        <v>1339</v>
      </c>
      <c r="E136" s="370" t="s">
        <v>1339</v>
      </c>
      <c r="F136" s="362" t="s">
        <v>1326</v>
      </c>
      <c r="G136" s="361" t="s">
        <v>1392</v>
      </c>
      <c r="H136" s="362"/>
      <c r="I136" s="362"/>
      <c r="J136" s="367" t="s">
        <v>1741</v>
      </c>
      <c r="K136" s="378"/>
      <c r="L136" s="378"/>
      <c r="M136" s="378"/>
      <c r="N136" s="378"/>
      <c r="O136" s="378"/>
      <c r="P136" s="378"/>
      <c r="Q136" s="378"/>
      <c r="R136" s="378"/>
      <c r="S136" s="378"/>
      <c r="T136" s="378"/>
      <c r="U136" s="374"/>
      <c r="V136" s="361"/>
      <c r="W136" s="370"/>
      <c r="X136" s="370"/>
      <c r="Y136" s="342"/>
    </row>
    <row r="137" spans="1:25" ht="22.5" customHeight="1" thickTop="1" thickBot="1">
      <c r="A137" s="370">
        <v>1</v>
      </c>
      <c r="B137" s="370" t="s">
        <v>1326</v>
      </c>
      <c r="C137" s="362" t="s">
        <v>1339</v>
      </c>
      <c r="D137" s="362" t="s">
        <v>1339</v>
      </c>
      <c r="E137" s="370" t="s">
        <v>1339</v>
      </c>
      <c r="F137" s="362" t="s">
        <v>1326</v>
      </c>
      <c r="G137" s="361" t="s">
        <v>1415</v>
      </c>
      <c r="H137" s="362"/>
      <c r="I137" s="362"/>
      <c r="J137" s="367" t="s">
        <v>1742</v>
      </c>
      <c r="K137" s="378"/>
      <c r="L137" s="378"/>
      <c r="M137" s="378"/>
      <c r="N137" s="378"/>
      <c r="O137" s="378"/>
      <c r="P137" s="378"/>
      <c r="Q137" s="378"/>
      <c r="R137" s="378"/>
      <c r="S137" s="378"/>
      <c r="T137" s="378"/>
      <c r="U137" s="374"/>
      <c r="V137" s="361"/>
      <c r="W137" s="370"/>
      <c r="X137" s="370"/>
      <c r="Y137" s="342"/>
    </row>
    <row r="138" spans="1:25" ht="22.5" customHeight="1" thickTop="1" thickBot="1">
      <c r="A138" s="370">
        <v>1</v>
      </c>
      <c r="B138" s="370" t="s">
        <v>1326</v>
      </c>
      <c r="C138" s="362" t="s">
        <v>1339</v>
      </c>
      <c r="D138" s="362" t="s">
        <v>1339</v>
      </c>
      <c r="E138" s="370" t="s">
        <v>1339</v>
      </c>
      <c r="F138" s="362" t="s">
        <v>1326</v>
      </c>
      <c r="G138" s="361" t="s">
        <v>1419</v>
      </c>
      <c r="H138" s="362"/>
      <c r="I138" s="362"/>
      <c r="J138" s="367" t="s">
        <v>1743</v>
      </c>
      <c r="K138" s="378"/>
      <c r="L138" s="378"/>
      <c r="M138" s="378"/>
      <c r="N138" s="378"/>
      <c r="O138" s="378"/>
      <c r="P138" s="378"/>
      <c r="Q138" s="378"/>
      <c r="R138" s="378"/>
      <c r="S138" s="378"/>
      <c r="T138" s="378"/>
      <c r="U138" s="374"/>
      <c r="V138" s="361"/>
      <c r="W138" s="370"/>
      <c r="X138" s="370"/>
      <c r="Y138" s="342"/>
    </row>
    <row r="139" spans="1:25" ht="22.5" customHeight="1" thickTop="1" thickBot="1">
      <c r="A139" s="370">
        <v>1</v>
      </c>
      <c r="B139" s="370" t="s">
        <v>1326</v>
      </c>
      <c r="C139" s="362" t="s">
        <v>1339</v>
      </c>
      <c r="D139" s="362" t="s">
        <v>1339</v>
      </c>
      <c r="E139" s="370" t="s">
        <v>1339</v>
      </c>
      <c r="F139" s="362" t="s">
        <v>1326</v>
      </c>
      <c r="G139" s="361" t="s">
        <v>1423</v>
      </c>
      <c r="H139" s="362"/>
      <c r="I139" s="362"/>
      <c r="J139" s="367" t="s">
        <v>1740</v>
      </c>
      <c r="K139" s="378"/>
      <c r="L139" s="378"/>
      <c r="M139" s="378"/>
      <c r="N139" s="378"/>
      <c r="O139" s="378"/>
      <c r="P139" s="378"/>
      <c r="Q139" s="378"/>
      <c r="R139" s="378"/>
      <c r="S139" s="378"/>
      <c r="T139" s="378"/>
      <c r="U139" s="374"/>
      <c r="V139" s="361"/>
      <c r="W139" s="370"/>
      <c r="X139" s="370"/>
      <c r="Y139" s="342"/>
    </row>
    <row r="140" spans="1:25" ht="22.5" customHeight="1" thickTop="1" thickBot="1">
      <c r="A140" s="370">
        <v>1</v>
      </c>
      <c r="B140" s="370" t="s">
        <v>1326</v>
      </c>
      <c r="C140" s="362" t="s">
        <v>1339</v>
      </c>
      <c r="D140" s="362" t="s">
        <v>1339</v>
      </c>
      <c r="E140" s="370" t="s">
        <v>1339</v>
      </c>
      <c r="F140" s="361" t="s">
        <v>1339</v>
      </c>
      <c r="G140" s="362"/>
      <c r="H140" s="362"/>
      <c r="I140" s="362"/>
      <c r="J140" s="363" t="s">
        <v>1403</v>
      </c>
      <c r="K140" s="377"/>
      <c r="L140" s="377"/>
      <c r="M140" s="377"/>
      <c r="N140" s="377"/>
      <c r="O140" s="377"/>
      <c r="P140" s="377"/>
      <c r="Q140" s="377"/>
      <c r="R140" s="377"/>
      <c r="S140" s="377"/>
      <c r="T140" s="377"/>
      <c r="U140" s="372"/>
      <c r="V140" s="361"/>
      <c r="W140" s="370" t="s">
        <v>1400</v>
      </c>
      <c r="X140" s="370"/>
      <c r="Y140" s="342" t="s">
        <v>1324</v>
      </c>
    </row>
    <row r="141" spans="1:25" ht="22.5" customHeight="1" thickTop="1" thickBot="1">
      <c r="A141" s="370">
        <v>1</v>
      </c>
      <c r="B141" s="370" t="s">
        <v>1326</v>
      </c>
      <c r="C141" s="362" t="s">
        <v>1339</v>
      </c>
      <c r="D141" s="362" t="s">
        <v>1339</v>
      </c>
      <c r="E141" s="370" t="s">
        <v>1339</v>
      </c>
      <c r="F141" s="362" t="s">
        <v>1339</v>
      </c>
      <c r="G141" s="361" t="s">
        <v>1326</v>
      </c>
      <c r="H141" s="362"/>
      <c r="I141" s="362"/>
      <c r="J141" s="367" t="s">
        <v>1404</v>
      </c>
      <c r="K141" s="378"/>
      <c r="L141" s="378"/>
      <c r="M141" s="378"/>
      <c r="N141" s="378"/>
      <c r="O141" s="378"/>
      <c r="P141" s="378"/>
      <c r="Q141" s="378"/>
      <c r="R141" s="378"/>
      <c r="S141" s="378"/>
      <c r="T141" s="378"/>
      <c r="U141" s="374"/>
      <c r="V141" s="361"/>
      <c r="W141" s="370"/>
      <c r="X141" s="370"/>
      <c r="Y141" s="342" t="s">
        <v>1324</v>
      </c>
    </row>
    <row r="142" spans="1:25" ht="22.5" customHeight="1" thickTop="1" thickBot="1">
      <c r="A142" s="370">
        <v>1</v>
      </c>
      <c r="B142" s="370" t="s">
        <v>1326</v>
      </c>
      <c r="C142" s="362" t="s">
        <v>1339</v>
      </c>
      <c r="D142" s="362" t="s">
        <v>1339</v>
      </c>
      <c r="E142" s="370" t="s">
        <v>1339</v>
      </c>
      <c r="F142" s="362" t="s">
        <v>1339</v>
      </c>
      <c r="G142" s="361" t="s">
        <v>1339</v>
      </c>
      <c r="H142" s="362"/>
      <c r="I142" s="362"/>
      <c r="J142" s="367" t="s">
        <v>1405</v>
      </c>
      <c r="K142" s="378"/>
      <c r="L142" s="378"/>
      <c r="M142" s="378"/>
      <c r="N142" s="378"/>
      <c r="O142" s="378"/>
      <c r="P142" s="378"/>
      <c r="Q142" s="378"/>
      <c r="R142" s="378"/>
      <c r="S142" s="378"/>
      <c r="T142" s="378"/>
      <c r="U142" s="374"/>
      <c r="V142" s="361"/>
      <c r="W142" s="370"/>
      <c r="X142" s="370"/>
      <c r="Y142" s="342" t="s">
        <v>1324</v>
      </c>
    </row>
    <row r="143" spans="1:25" ht="22.5" customHeight="1" thickTop="1" thickBot="1">
      <c r="A143" s="370">
        <v>1</v>
      </c>
      <c r="B143" s="370" t="s">
        <v>1326</v>
      </c>
      <c r="C143" s="362" t="s">
        <v>1339</v>
      </c>
      <c r="D143" s="362" t="s">
        <v>1339</v>
      </c>
      <c r="E143" s="370" t="s">
        <v>1339</v>
      </c>
      <c r="F143" s="362" t="s">
        <v>1339</v>
      </c>
      <c r="G143" s="361" t="s">
        <v>1363</v>
      </c>
      <c r="H143" s="362"/>
      <c r="I143" s="362"/>
      <c r="J143" s="367" t="s">
        <v>1749</v>
      </c>
      <c r="K143" s="378"/>
      <c r="L143" s="378"/>
      <c r="M143" s="378"/>
      <c r="N143" s="378"/>
      <c r="O143" s="378"/>
      <c r="P143" s="378"/>
      <c r="Q143" s="378"/>
      <c r="R143" s="378"/>
      <c r="S143" s="378"/>
      <c r="T143" s="378"/>
      <c r="U143" s="374"/>
      <c r="V143" s="361"/>
      <c r="W143" s="370"/>
      <c r="X143" s="370"/>
      <c r="Y143" s="342"/>
    </row>
    <row r="144" spans="1:25" ht="22.5" customHeight="1" thickTop="1" thickBot="1">
      <c r="A144" s="370">
        <v>1</v>
      </c>
      <c r="B144" s="370" t="s">
        <v>1326</v>
      </c>
      <c r="C144" s="362" t="s">
        <v>1339</v>
      </c>
      <c r="D144" s="362" t="s">
        <v>1339</v>
      </c>
      <c r="E144" s="370" t="s">
        <v>1339</v>
      </c>
      <c r="F144" s="362" t="s">
        <v>1339</v>
      </c>
      <c r="G144" s="361" t="s">
        <v>1367</v>
      </c>
      <c r="H144" s="362"/>
      <c r="I144" s="362"/>
      <c r="J144" s="367" t="s">
        <v>1750</v>
      </c>
      <c r="K144" s="378"/>
      <c r="L144" s="378"/>
      <c r="M144" s="378"/>
      <c r="N144" s="378"/>
      <c r="O144" s="378"/>
      <c r="P144" s="378"/>
      <c r="Q144" s="378"/>
      <c r="R144" s="378"/>
      <c r="S144" s="378"/>
      <c r="T144" s="378"/>
      <c r="U144" s="374"/>
      <c r="V144" s="361"/>
      <c r="W144" s="370"/>
      <c r="X144" s="370"/>
      <c r="Y144" s="342"/>
    </row>
    <row r="145" spans="1:25" ht="22.5" customHeight="1" thickTop="1" thickBot="1">
      <c r="A145" s="370">
        <v>1</v>
      </c>
      <c r="B145" s="370" t="s">
        <v>1326</v>
      </c>
      <c r="C145" s="362" t="s">
        <v>1339</v>
      </c>
      <c r="D145" s="362" t="s">
        <v>1339</v>
      </c>
      <c r="E145" s="370" t="s">
        <v>1339</v>
      </c>
      <c r="F145" s="362" t="s">
        <v>1339</v>
      </c>
      <c r="G145" s="361" t="s">
        <v>1392</v>
      </c>
      <c r="H145" s="362"/>
      <c r="I145" s="362"/>
      <c r="J145" s="367" t="s">
        <v>1751</v>
      </c>
      <c r="K145" s="378"/>
      <c r="L145" s="378"/>
      <c r="M145" s="378"/>
      <c r="N145" s="378"/>
      <c r="O145" s="378"/>
      <c r="P145" s="378"/>
      <c r="Q145" s="378"/>
      <c r="R145" s="378"/>
      <c r="S145" s="378"/>
      <c r="T145" s="378"/>
      <c r="U145" s="374"/>
      <c r="V145" s="361"/>
      <c r="W145" s="370"/>
      <c r="X145" s="370"/>
      <c r="Y145" s="342"/>
    </row>
    <row r="146" spans="1:25" ht="22.5" customHeight="1" thickTop="1" thickBot="1">
      <c r="A146" s="370">
        <v>1</v>
      </c>
      <c r="B146" s="370" t="s">
        <v>1326</v>
      </c>
      <c r="C146" s="362" t="s">
        <v>1339</v>
      </c>
      <c r="D146" s="362" t="s">
        <v>1339</v>
      </c>
      <c r="E146" s="370" t="s">
        <v>1339</v>
      </c>
      <c r="F146" s="362" t="s">
        <v>1339</v>
      </c>
      <c r="G146" s="361" t="s">
        <v>1415</v>
      </c>
      <c r="H146" s="362"/>
      <c r="I146" s="362"/>
      <c r="J146" s="367" t="s">
        <v>1752</v>
      </c>
      <c r="K146" s="378"/>
      <c r="L146" s="378"/>
      <c r="M146" s="378"/>
      <c r="N146" s="378"/>
      <c r="O146" s="378"/>
      <c r="P146" s="378"/>
      <c r="Q146" s="378"/>
      <c r="R146" s="378"/>
      <c r="S146" s="378"/>
      <c r="T146" s="378"/>
      <c r="U146" s="374"/>
      <c r="V146" s="361"/>
      <c r="W146" s="370"/>
      <c r="X146" s="370"/>
      <c r="Y146" s="342"/>
    </row>
    <row r="147" spans="1:25" ht="22.5" customHeight="1" thickTop="1" thickBot="1">
      <c r="A147" s="370">
        <v>1</v>
      </c>
      <c r="B147" s="370" t="s">
        <v>1326</v>
      </c>
      <c r="C147" s="362" t="s">
        <v>1339</v>
      </c>
      <c r="D147" s="362" t="s">
        <v>1339</v>
      </c>
      <c r="E147" s="370" t="s">
        <v>1339</v>
      </c>
      <c r="F147" s="362" t="s">
        <v>1339</v>
      </c>
      <c r="G147" s="361" t="s">
        <v>1419</v>
      </c>
      <c r="H147" s="362"/>
      <c r="I147" s="362"/>
      <c r="J147" s="367" t="s">
        <v>1753</v>
      </c>
      <c r="K147" s="378"/>
      <c r="L147" s="378"/>
      <c r="M147" s="378"/>
      <c r="N147" s="378"/>
      <c r="O147" s="378"/>
      <c r="P147" s="378"/>
      <c r="Q147" s="378"/>
      <c r="R147" s="378"/>
      <c r="S147" s="378"/>
      <c r="T147" s="378"/>
      <c r="U147" s="374"/>
      <c r="V147" s="361"/>
      <c r="W147" s="370"/>
      <c r="X147" s="370"/>
      <c r="Y147" s="342"/>
    </row>
    <row r="148" spans="1:25" ht="22.5" customHeight="1" thickTop="1" thickBot="1">
      <c r="A148" s="370">
        <v>1</v>
      </c>
      <c r="B148" s="370" t="s">
        <v>1326</v>
      </c>
      <c r="C148" s="362" t="s">
        <v>1339</v>
      </c>
      <c r="D148" s="362" t="s">
        <v>1339</v>
      </c>
      <c r="E148" s="370" t="s">
        <v>1339</v>
      </c>
      <c r="F148" s="362" t="s">
        <v>1339</v>
      </c>
      <c r="G148" s="361" t="s">
        <v>1423</v>
      </c>
      <c r="H148" s="362"/>
      <c r="I148" s="362"/>
      <c r="J148" s="367" t="s">
        <v>1750</v>
      </c>
      <c r="K148" s="378"/>
      <c r="L148" s="378"/>
      <c r="M148" s="378"/>
      <c r="N148" s="378"/>
      <c r="O148" s="378"/>
      <c r="P148" s="378"/>
      <c r="Q148" s="378"/>
      <c r="R148" s="378"/>
      <c r="S148" s="378"/>
      <c r="T148" s="378"/>
      <c r="U148" s="374"/>
      <c r="V148" s="361"/>
      <c r="W148" s="370"/>
      <c r="X148" s="370"/>
      <c r="Y148" s="342"/>
    </row>
    <row r="149" spans="1:25" ht="22.5" customHeight="1" thickTop="1" thickBot="1">
      <c r="A149" s="370">
        <v>1</v>
      </c>
      <c r="B149" s="370" t="s">
        <v>1326</v>
      </c>
      <c r="C149" s="362" t="s">
        <v>1339</v>
      </c>
      <c r="D149" s="362" t="s">
        <v>1339</v>
      </c>
      <c r="E149" s="370" t="s">
        <v>1339</v>
      </c>
      <c r="F149" s="361" t="s">
        <v>1363</v>
      </c>
      <c r="G149" s="362"/>
      <c r="H149" s="362"/>
      <c r="I149" s="362"/>
      <c r="J149" s="363" t="s">
        <v>1406</v>
      </c>
      <c r="K149" s="377"/>
      <c r="L149" s="377"/>
      <c r="M149" s="377"/>
      <c r="N149" s="377"/>
      <c r="O149" s="377"/>
      <c r="P149" s="377"/>
      <c r="Q149" s="377"/>
      <c r="R149" s="377"/>
      <c r="S149" s="377"/>
      <c r="T149" s="377"/>
      <c r="U149" s="372"/>
      <c r="V149" s="361"/>
      <c r="W149" s="370"/>
      <c r="X149" s="370"/>
      <c r="Y149" s="342" t="s">
        <v>1324</v>
      </c>
    </row>
    <row r="150" spans="1:25" ht="22.5" customHeight="1" thickTop="1" thickBot="1">
      <c r="A150" s="370">
        <v>1</v>
      </c>
      <c r="B150" s="370" t="s">
        <v>1326</v>
      </c>
      <c r="C150" s="362" t="s">
        <v>1339</v>
      </c>
      <c r="D150" s="362" t="s">
        <v>1339</v>
      </c>
      <c r="E150" s="370" t="s">
        <v>1339</v>
      </c>
      <c r="F150" s="362" t="s">
        <v>1363</v>
      </c>
      <c r="G150" s="361" t="s">
        <v>1326</v>
      </c>
      <c r="H150" s="362"/>
      <c r="I150" s="362"/>
      <c r="J150" s="367" t="s">
        <v>1407</v>
      </c>
      <c r="K150" s="378"/>
      <c r="L150" s="378"/>
      <c r="M150" s="378"/>
      <c r="N150" s="378"/>
      <c r="O150" s="378"/>
      <c r="P150" s="378"/>
      <c r="Q150" s="378"/>
      <c r="R150" s="378"/>
      <c r="S150" s="378"/>
      <c r="T150" s="378"/>
      <c r="U150" s="374"/>
      <c r="V150" s="361"/>
      <c r="W150" s="370"/>
      <c r="X150" s="370"/>
      <c r="Y150" s="342" t="s">
        <v>1324</v>
      </c>
    </row>
    <row r="151" spans="1:25" ht="22.5" customHeight="1" thickTop="1" thickBot="1">
      <c r="A151" s="370">
        <v>1</v>
      </c>
      <c r="B151" s="370" t="s">
        <v>1326</v>
      </c>
      <c r="C151" s="362" t="s">
        <v>1339</v>
      </c>
      <c r="D151" s="362" t="s">
        <v>1339</v>
      </c>
      <c r="E151" s="370" t="s">
        <v>1339</v>
      </c>
      <c r="F151" s="362" t="s">
        <v>1363</v>
      </c>
      <c r="G151" s="361" t="s">
        <v>1339</v>
      </c>
      <c r="H151" s="362"/>
      <c r="I151" s="362"/>
      <c r="J151" s="367" t="s">
        <v>1408</v>
      </c>
      <c r="K151" s="378"/>
      <c r="L151" s="378"/>
      <c r="M151" s="378"/>
      <c r="N151" s="378"/>
      <c r="O151" s="378"/>
      <c r="P151" s="378"/>
      <c r="Q151" s="378"/>
      <c r="R151" s="378"/>
      <c r="S151" s="378"/>
      <c r="T151" s="378"/>
      <c r="U151" s="374"/>
      <c r="V151" s="361"/>
      <c r="W151" s="370"/>
      <c r="X151" s="370"/>
      <c r="Y151" s="342" t="s">
        <v>1324</v>
      </c>
    </row>
    <row r="152" spans="1:25" ht="22.5" customHeight="1" thickTop="1" thickBot="1">
      <c r="A152" s="370">
        <v>1</v>
      </c>
      <c r="B152" s="370" t="s">
        <v>1326</v>
      </c>
      <c r="C152" s="362" t="s">
        <v>1339</v>
      </c>
      <c r="D152" s="362" t="s">
        <v>1339</v>
      </c>
      <c r="E152" s="370" t="s">
        <v>1339</v>
      </c>
      <c r="F152" s="362" t="s">
        <v>1363</v>
      </c>
      <c r="G152" s="361" t="s">
        <v>1363</v>
      </c>
      <c r="H152" s="362"/>
      <c r="I152" s="362"/>
      <c r="J152" s="367" t="s">
        <v>1754</v>
      </c>
      <c r="K152" s="378"/>
      <c r="L152" s="378"/>
      <c r="M152" s="378"/>
      <c r="N152" s="378"/>
      <c r="O152" s="378"/>
      <c r="P152" s="378"/>
      <c r="Q152" s="378"/>
      <c r="R152" s="378"/>
      <c r="S152" s="378"/>
      <c r="T152" s="378"/>
      <c r="U152" s="374"/>
      <c r="V152" s="361"/>
      <c r="W152" s="370"/>
      <c r="X152" s="370"/>
      <c r="Y152" s="342"/>
    </row>
    <row r="153" spans="1:25" ht="22.5" customHeight="1" thickTop="1" thickBot="1">
      <c r="A153" s="370">
        <v>1</v>
      </c>
      <c r="B153" s="370" t="s">
        <v>1326</v>
      </c>
      <c r="C153" s="362" t="s">
        <v>1339</v>
      </c>
      <c r="D153" s="362" t="s">
        <v>1339</v>
      </c>
      <c r="E153" s="370" t="s">
        <v>1339</v>
      </c>
      <c r="F153" s="362" t="s">
        <v>1363</v>
      </c>
      <c r="G153" s="361" t="s">
        <v>1367</v>
      </c>
      <c r="H153" s="362"/>
      <c r="I153" s="362"/>
      <c r="J153" s="367" t="s">
        <v>1755</v>
      </c>
      <c r="K153" s="378"/>
      <c r="L153" s="378"/>
      <c r="M153" s="378"/>
      <c r="N153" s="378"/>
      <c r="O153" s="378"/>
      <c r="P153" s="378"/>
      <c r="Q153" s="378"/>
      <c r="R153" s="378"/>
      <c r="S153" s="378"/>
      <c r="T153" s="378"/>
      <c r="U153" s="374"/>
      <c r="V153" s="361"/>
      <c r="W153" s="370"/>
      <c r="X153" s="370"/>
      <c r="Y153" s="342"/>
    </row>
    <row r="154" spans="1:25" ht="22.5" customHeight="1" thickTop="1" thickBot="1">
      <c r="A154" s="370">
        <v>1</v>
      </c>
      <c r="B154" s="370" t="s">
        <v>1326</v>
      </c>
      <c r="C154" s="362" t="s">
        <v>1339</v>
      </c>
      <c r="D154" s="362" t="s">
        <v>1339</v>
      </c>
      <c r="E154" s="370" t="s">
        <v>1339</v>
      </c>
      <c r="F154" s="362" t="s">
        <v>1363</v>
      </c>
      <c r="G154" s="361" t="s">
        <v>1392</v>
      </c>
      <c r="H154" s="362"/>
      <c r="I154" s="362"/>
      <c r="J154" s="367" t="s">
        <v>1756</v>
      </c>
      <c r="K154" s="378"/>
      <c r="L154" s="378"/>
      <c r="M154" s="378"/>
      <c r="N154" s="378"/>
      <c r="O154" s="378"/>
      <c r="P154" s="378"/>
      <c r="Q154" s="378"/>
      <c r="R154" s="378"/>
      <c r="S154" s="378"/>
      <c r="T154" s="378"/>
      <c r="U154" s="374"/>
      <c r="V154" s="361"/>
      <c r="W154" s="370"/>
      <c r="X154" s="370"/>
      <c r="Y154" s="342"/>
    </row>
    <row r="155" spans="1:25" ht="22.5" customHeight="1" thickTop="1" thickBot="1">
      <c r="A155" s="370">
        <v>1</v>
      </c>
      <c r="B155" s="370" t="s">
        <v>1326</v>
      </c>
      <c r="C155" s="362" t="s">
        <v>1339</v>
      </c>
      <c r="D155" s="362" t="s">
        <v>1339</v>
      </c>
      <c r="E155" s="370" t="s">
        <v>1339</v>
      </c>
      <c r="F155" s="362" t="s">
        <v>1363</v>
      </c>
      <c r="G155" s="361" t="s">
        <v>1415</v>
      </c>
      <c r="H155" s="362"/>
      <c r="I155" s="362"/>
      <c r="J155" s="367" t="s">
        <v>1757</v>
      </c>
      <c r="K155" s="378"/>
      <c r="L155" s="378"/>
      <c r="M155" s="378"/>
      <c r="N155" s="378"/>
      <c r="O155" s="378"/>
      <c r="P155" s="378"/>
      <c r="Q155" s="378"/>
      <c r="R155" s="378"/>
      <c r="S155" s="378"/>
      <c r="T155" s="378"/>
      <c r="U155" s="374"/>
      <c r="V155" s="361"/>
      <c r="W155" s="370"/>
      <c r="X155" s="370"/>
      <c r="Y155" s="342"/>
    </row>
    <row r="156" spans="1:25" ht="22.5" customHeight="1" thickTop="1" thickBot="1">
      <c r="A156" s="370">
        <v>1</v>
      </c>
      <c r="B156" s="370" t="s">
        <v>1326</v>
      </c>
      <c r="C156" s="362" t="s">
        <v>1339</v>
      </c>
      <c r="D156" s="362" t="s">
        <v>1339</v>
      </c>
      <c r="E156" s="370" t="s">
        <v>1339</v>
      </c>
      <c r="F156" s="362" t="s">
        <v>1363</v>
      </c>
      <c r="G156" s="361" t="s">
        <v>1419</v>
      </c>
      <c r="H156" s="362"/>
      <c r="I156" s="362"/>
      <c r="J156" s="367" t="s">
        <v>1758</v>
      </c>
      <c r="K156" s="378"/>
      <c r="L156" s="378"/>
      <c r="M156" s="378"/>
      <c r="N156" s="378"/>
      <c r="O156" s="378"/>
      <c r="P156" s="378"/>
      <c r="Q156" s="378"/>
      <c r="R156" s="378"/>
      <c r="S156" s="378"/>
      <c r="T156" s="378"/>
      <c r="U156" s="374"/>
      <c r="V156" s="361"/>
      <c r="W156" s="370"/>
      <c r="X156" s="370"/>
      <c r="Y156" s="342"/>
    </row>
    <row r="157" spans="1:25" ht="22.5" customHeight="1" thickTop="1" thickBot="1">
      <c r="A157" s="370">
        <v>1</v>
      </c>
      <c r="B157" s="370" t="s">
        <v>1326</v>
      </c>
      <c r="C157" s="362" t="s">
        <v>1339</v>
      </c>
      <c r="D157" s="362" t="s">
        <v>1339</v>
      </c>
      <c r="E157" s="370" t="s">
        <v>1339</v>
      </c>
      <c r="F157" s="362" t="s">
        <v>1363</v>
      </c>
      <c r="G157" s="361" t="s">
        <v>1423</v>
      </c>
      <c r="H157" s="362"/>
      <c r="I157" s="362"/>
      <c r="J157" s="367" t="s">
        <v>1755</v>
      </c>
      <c r="K157" s="378"/>
      <c r="L157" s="378"/>
      <c r="M157" s="378"/>
      <c r="N157" s="378"/>
      <c r="O157" s="378"/>
      <c r="P157" s="378"/>
      <c r="Q157" s="378"/>
      <c r="R157" s="378"/>
      <c r="S157" s="378"/>
      <c r="T157" s="378"/>
      <c r="U157" s="374"/>
      <c r="V157" s="361"/>
      <c r="W157" s="370"/>
      <c r="X157" s="370"/>
      <c r="Y157" s="342"/>
    </row>
    <row r="158" spans="1:25" ht="22.5" customHeight="1" thickTop="1" thickBot="1">
      <c r="A158" s="370">
        <v>1</v>
      </c>
      <c r="B158" s="370" t="s">
        <v>1326</v>
      </c>
      <c r="C158" s="362" t="s">
        <v>1339</v>
      </c>
      <c r="D158" s="362" t="s">
        <v>1339</v>
      </c>
      <c r="E158" s="370" t="s">
        <v>1339</v>
      </c>
      <c r="F158" s="361" t="s">
        <v>1367</v>
      </c>
      <c r="G158" s="362"/>
      <c r="H158" s="362"/>
      <c r="I158" s="362"/>
      <c r="J158" s="363" t="s">
        <v>1409</v>
      </c>
      <c r="K158" s="377"/>
      <c r="L158" s="377"/>
      <c r="M158" s="377"/>
      <c r="N158" s="377"/>
      <c r="O158" s="377"/>
      <c r="P158" s="377"/>
      <c r="Q158" s="377"/>
      <c r="R158" s="377"/>
      <c r="S158" s="377"/>
      <c r="T158" s="377"/>
      <c r="U158" s="372"/>
      <c r="V158" s="361"/>
      <c r="W158" s="370"/>
      <c r="X158" s="370"/>
      <c r="Y158" s="342" t="s">
        <v>1324</v>
      </c>
    </row>
    <row r="159" spans="1:25" ht="22.5" customHeight="1" thickTop="1" thickBot="1">
      <c r="A159" s="370">
        <v>1</v>
      </c>
      <c r="B159" s="370" t="s">
        <v>1326</v>
      </c>
      <c r="C159" s="362" t="s">
        <v>1339</v>
      </c>
      <c r="D159" s="362" t="s">
        <v>1339</v>
      </c>
      <c r="E159" s="370" t="s">
        <v>1339</v>
      </c>
      <c r="F159" s="362" t="s">
        <v>1367</v>
      </c>
      <c r="G159" s="361" t="s">
        <v>1326</v>
      </c>
      <c r="H159" s="362"/>
      <c r="I159" s="362"/>
      <c r="J159" s="367" t="s">
        <v>1410</v>
      </c>
      <c r="K159" s="378"/>
      <c r="L159" s="378"/>
      <c r="M159" s="378"/>
      <c r="N159" s="378"/>
      <c r="O159" s="378"/>
      <c r="P159" s="378"/>
      <c r="Q159" s="378"/>
      <c r="R159" s="378"/>
      <c r="S159" s="378"/>
      <c r="T159" s="378"/>
      <c r="U159" s="374"/>
      <c r="V159" s="361"/>
      <c r="W159" s="370"/>
      <c r="X159" s="370"/>
      <c r="Y159" s="342" t="s">
        <v>1324</v>
      </c>
    </row>
    <row r="160" spans="1:25" ht="22.5" customHeight="1" thickTop="1" thickBot="1">
      <c r="A160" s="370">
        <v>1</v>
      </c>
      <c r="B160" s="370" t="s">
        <v>1326</v>
      </c>
      <c r="C160" s="362" t="s">
        <v>1339</v>
      </c>
      <c r="D160" s="362" t="s">
        <v>1339</v>
      </c>
      <c r="E160" s="370" t="s">
        <v>1339</v>
      </c>
      <c r="F160" s="362" t="s">
        <v>1367</v>
      </c>
      <c r="G160" s="361" t="s">
        <v>1339</v>
      </c>
      <c r="H160" s="362"/>
      <c r="I160" s="362"/>
      <c r="J160" s="367" t="s">
        <v>1411</v>
      </c>
      <c r="K160" s="378"/>
      <c r="L160" s="378"/>
      <c r="M160" s="378"/>
      <c r="N160" s="378"/>
      <c r="O160" s="378"/>
      <c r="P160" s="378"/>
      <c r="Q160" s="378"/>
      <c r="R160" s="378"/>
      <c r="S160" s="378"/>
      <c r="T160" s="378"/>
      <c r="U160" s="374"/>
      <c r="V160" s="361"/>
      <c r="W160" s="370"/>
      <c r="X160" s="370"/>
      <c r="Y160" s="342" t="s">
        <v>1324</v>
      </c>
    </row>
    <row r="161" spans="1:25" ht="22.5" customHeight="1" thickTop="1" thickBot="1">
      <c r="A161" s="370">
        <v>1</v>
      </c>
      <c r="B161" s="370" t="s">
        <v>1326</v>
      </c>
      <c r="C161" s="362" t="s">
        <v>1339</v>
      </c>
      <c r="D161" s="362" t="s">
        <v>1339</v>
      </c>
      <c r="E161" s="370" t="s">
        <v>1339</v>
      </c>
      <c r="F161" s="361" t="s">
        <v>1392</v>
      </c>
      <c r="G161" s="362"/>
      <c r="H161" s="362"/>
      <c r="I161" s="362"/>
      <c r="J161" s="363" t="s">
        <v>1412</v>
      </c>
      <c r="K161" s="377"/>
      <c r="L161" s="377"/>
      <c r="M161" s="377"/>
      <c r="N161" s="377"/>
      <c r="O161" s="377"/>
      <c r="P161" s="377"/>
      <c r="Q161" s="377"/>
      <c r="R161" s="377"/>
      <c r="S161" s="377"/>
      <c r="T161" s="377"/>
      <c r="U161" s="372"/>
      <c r="V161" s="361"/>
      <c r="W161" s="370"/>
      <c r="X161" s="370"/>
      <c r="Y161" s="342" t="s">
        <v>1324</v>
      </c>
    </row>
    <row r="162" spans="1:25" ht="22.5" customHeight="1" thickTop="1" thickBot="1">
      <c r="A162" s="370">
        <v>1</v>
      </c>
      <c r="B162" s="370" t="s">
        <v>1326</v>
      </c>
      <c r="C162" s="362" t="s">
        <v>1339</v>
      </c>
      <c r="D162" s="362" t="s">
        <v>1339</v>
      </c>
      <c r="E162" s="370" t="s">
        <v>1339</v>
      </c>
      <c r="F162" s="362" t="s">
        <v>1392</v>
      </c>
      <c r="G162" s="361" t="s">
        <v>1326</v>
      </c>
      <c r="H162" s="362"/>
      <c r="I162" s="362"/>
      <c r="J162" s="367" t="s">
        <v>1413</v>
      </c>
      <c r="K162" s="378"/>
      <c r="L162" s="378"/>
      <c r="M162" s="378"/>
      <c r="N162" s="378"/>
      <c r="O162" s="378"/>
      <c r="P162" s="378"/>
      <c r="Q162" s="378"/>
      <c r="R162" s="378"/>
      <c r="S162" s="378"/>
      <c r="T162" s="378"/>
      <c r="U162" s="374"/>
      <c r="V162" s="361"/>
      <c r="W162" s="370"/>
      <c r="X162" s="370"/>
      <c r="Y162" s="342" t="s">
        <v>1324</v>
      </c>
    </row>
    <row r="163" spans="1:25" ht="22.5" customHeight="1" thickTop="1" thickBot="1">
      <c r="A163" s="370">
        <v>1</v>
      </c>
      <c r="B163" s="370" t="s">
        <v>1326</v>
      </c>
      <c r="C163" s="362" t="s">
        <v>1339</v>
      </c>
      <c r="D163" s="362" t="s">
        <v>1339</v>
      </c>
      <c r="E163" s="370" t="s">
        <v>1339</v>
      </c>
      <c r="F163" s="362" t="s">
        <v>1392</v>
      </c>
      <c r="G163" s="361" t="s">
        <v>1339</v>
      </c>
      <c r="H163" s="362"/>
      <c r="I163" s="362"/>
      <c r="J163" s="367" t="s">
        <v>1414</v>
      </c>
      <c r="K163" s="378"/>
      <c r="L163" s="378"/>
      <c r="M163" s="378"/>
      <c r="N163" s="378"/>
      <c r="O163" s="378"/>
      <c r="P163" s="378"/>
      <c r="Q163" s="378"/>
      <c r="R163" s="378"/>
      <c r="S163" s="378"/>
      <c r="T163" s="378"/>
      <c r="U163" s="374"/>
      <c r="V163" s="361"/>
      <c r="W163" s="370"/>
      <c r="X163" s="370"/>
      <c r="Y163" s="342" t="s">
        <v>1324</v>
      </c>
    </row>
    <row r="164" spans="1:25" ht="22.5" customHeight="1" thickTop="1" thickBot="1">
      <c r="A164" s="370">
        <v>1</v>
      </c>
      <c r="B164" s="370" t="s">
        <v>1326</v>
      </c>
      <c r="C164" s="362" t="s">
        <v>1339</v>
      </c>
      <c r="D164" s="362" t="s">
        <v>1339</v>
      </c>
      <c r="E164" s="370" t="s">
        <v>1339</v>
      </c>
      <c r="F164" s="361" t="s">
        <v>1415</v>
      </c>
      <c r="G164" s="362"/>
      <c r="H164" s="362"/>
      <c r="I164" s="362"/>
      <c r="J164" s="363" t="s">
        <v>1416</v>
      </c>
      <c r="K164" s="377"/>
      <c r="L164" s="377"/>
      <c r="M164" s="377"/>
      <c r="N164" s="377"/>
      <c r="O164" s="377"/>
      <c r="P164" s="377"/>
      <c r="Q164" s="377"/>
      <c r="R164" s="377"/>
      <c r="S164" s="377"/>
      <c r="T164" s="377"/>
      <c r="U164" s="372"/>
      <c r="V164" s="361"/>
      <c r="W164" s="370"/>
      <c r="X164" s="370"/>
      <c r="Y164" s="342" t="s">
        <v>1324</v>
      </c>
    </row>
    <row r="165" spans="1:25" ht="22.5" customHeight="1" thickTop="1" thickBot="1">
      <c r="A165" s="370">
        <v>1</v>
      </c>
      <c r="B165" s="370" t="s">
        <v>1326</v>
      </c>
      <c r="C165" s="362" t="s">
        <v>1339</v>
      </c>
      <c r="D165" s="362" t="s">
        <v>1339</v>
      </c>
      <c r="E165" s="370" t="s">
        <v>1339</v>
      </c>
      <c r="F165" s="362" t="s">
        <v>1415</v>
      </c>
      <c r="G165" s="361" t="s">
        <v>1326</v>
      </c>
      <c r="H165" s="362"/>
      <c r="I165" s="362"/>
      <c r="J165" s="367" t="s">
        <v>1417</v>
      </c>
      <c r="K165" s="378"/>
      <c r="L165" s="378"/>
      <c r="M165" s="378"/>
      <c r="N165" s="378"/>
      <c r="O165" s="378"/>
      <c r="P165" s="378"/>
      <c r="Q165" s="378"/>
      <c r="R165" s="378"/>
      <c r="S165" s="378"/>
      <c r="T165" s="378"/>
      <c r="U165" s="374"/>
      <c r="V165" s="361"/>
      <c r="W165" s="370"/>
      <c r="X165" s="370"/>
      <c r="Y165" s="342" t="s">
        <v>1324</v>
      </c>
    </row>
    <row r="166" spans="1:25" ht="22.5" customHeight="1" thickTop="1" thickBot="1">
      <c r="A166" s="370">
        <v>1</v>
      </c>
      <c r="B166" s="370" t="s">
        <v>1326</v>
      </c>
      <c r="C166" s="362" t="s">
        <v>1339</v>
      </c>
      <c r="D166" s="362" t="s">
        <v>1339</v>
      </c>
      <c r="E166" s="370" t="s">
        <v>1339</v>
      </c>
      <c r="F166" s="362" t="s">
        <v>1415</v>
      </c>
      <c r="G166" s="361" t="s">
        <v>1339</v>
      </c>
      <c r="H166" s="362"/>
      <c r="I166" s="362"/>
      <c r="J166" s="367" t="s">
        <v>1418</v>
      </c>
      <c r="K166" s="378"/>
      <c r="L166" s="378"/>
      <c r="M166" s="378"/>
      <c r="N166" s="378"/>
      <c r="O166" s="378"/>
      <c r="P166" s="378"/>
      <c r="Q166" s="378"/>
      <c r="R166" s="378"/>
      <c r="S166" s="378"/>
      <c r="T166" s="378"/>
      <c r="U166" s="374"/>
      <c r="V166" s="361"/>
      <c r="W166" s="370"/>
      <c r="X166" s="370"/>
      <c r="Y166" s="342" t="s">
        <v>1324</v>
      </c>
    </row>
    <row r="167" spans="1:25" ht="22.5" customHeight="1" thickTop="1" thickBot="1">
      <c r="A167" s="370">
        <v>1</v>
      </c>
      <c r="B167" s="370" t="s">
        <v>1326</v>
      </c>
      <c r="C167" s="362" t="s">
        <v>1339</v>
      </c>
      <c r="D167" s="362" t="s">
        <v>1339</v>
      </c>
      <c r="E167" s="370" t="s">
        <v>1339</v>
      </c>
      <c r="F167" s="361" t="s">
        <v>1419</v>
      </c>
      <c r="G167" s="362"/>
      <c r="H167" s="362"/>
      <c r="I167" s="362"/>
      <c r="J167" s="363" t="s">
        <v>1420</v>
      </c>
      <c r="K167" s="377"/>
      <c r="L167" s="377"/>
      <c r="M167" s="377"/>
      <c r="N167" s="377"/>
      <c r="O167" s="377"/>
      <c r="P167" s="377"/>
      <c r="Q167" s="377"/>
      <c r="R167" s="377"/>
      <c r="S167" s="377"/>
      <c r="T167" s="377"/>
      <c r="U167" s="372"/>
      <c r="V167" s="361"/>
      <c r="W167" s="370"/>
      <c r="X167" s="370"/>
      <c r="Y167" s="342" t="s">
        <v>1324</v>
      </c>
    </row>
    <row r="168" spans="1:25" ht="22.5" customHeight="1" thickTop="1" thickBot="1">
      <c r="A168" s="370">
        <v>1</v>
      </c>
      <c r="B168" s="370" t="s">
        <v>1326</v>
      </c>
      <c r="C168" s="362" t="s">
        <v>1339</v>
      </c>
      <c r="D168" s="362" t="s">
        <v>1339</v>
      </c>
      <c r="E168" s="370" t="s">
        <v>1339</v>
      </c>
      <c r="F168" s="362" t="s">
        <v>1419</v>
      </c>
      <c r="G168" s="361" t="s">
        <v>1326</v>
      </c>
      <c r="H168" s="362"/>
      <c r="I168" s="362"/>
      <c r="J168" s="367" t="s">
        <v>1421</v>
      </c>
      <c r="K168" s="378"/>
      <c r="L168" s="378"/>
      <c r="M168" s="378"/>
      <c r="N168" s="378"/>
      <c r="O168" s="378"/>
      <c r="P168" s="378"/>
      <c r="Q168" s="378"/>
      <c r="R168" s="378"/>
      <c r="S168" s="378"/>
      <c r="T168" s="378"/>
      <c r="U168" s="374"/>
      <c r="V168" s="361"/>
      <c r="W168" s="370"/>
      <c r="X168" s="370"/>
      <c r="Y168" s="342" t="s">
        <v>1324</v>
      </c>
    </row>
    <row r="169" spans="1:25" ht="22.5" customHeight="1" thickTop="1" thickBot="1">
      <c r="A169" s="370">
        <v>1</v>
      </c>
      <c r="B169" s="370" t="s">
        <v>1326</v>
      </c>
      <c r="C169" s="362" t="s">
        <v>1339</v>
      </c>
      <c r="D169" s="362" t="s">
        <v>1339</v>
      </c>
      <c r="E169" s="370" t="s">
        <v>1339</v>
      </c>
      <c r="F169" s="362" t="s">
        <v>1419</v>
      </c>
      <c r="G169" s="361" t="s">
        <v>1339</v>
      </c>
      <c r="H169" s="362"/>
      <c r="I169" s="362"/>
      <c r="J169" s="367" t="s">
        <v>1422</v>
      </c>
      <c r="K169" s="378"/>
      <c r="L169" s="378"/>
      <c r="M169" s="378"/>
      <c r="N169" s="378"/>
      <c r="O169" s="378"/>
      <c r="P169" s="378"/>
      <c r="Q169" s="378"/>
      <c r="R169" s="378"/>
      <c r="S169" s="378"/>
      <c r="T169" s="378"/>
      <c r="U169" s="374"/>
      <c r="V169" s="361"/>
      <c r="W169" s="370"/>
      <c r="X169" s="370"/>
      <c r="Y169" s="342" t="s">
        <v>1324</v>
      </c>
    </row>
    <row r="170" spans="1:25" ht="22.5" customHeight="1" thickTop="1" thickBot="1">
      <c r="A170" s="370">
        <v>1</v>
      </c>
      <c r="B170" s="370" t="s">
        <v>1326</v>
      </c>
      <c r="C170" s="362" t="s">
        <v>1339</v>
      </c>
      <c r="D170" s="362" t="s">
        <v>1339</v>
      </c>
      <c r="E170" s="370" t="s">
        <v>1339</v>
      </c>
      <c r="F170" s="361" t="s">
        <v>1423</v>
      </c>
      <c r="G170" s="362"/>
      <c r="H170" s="362"/>
      <c r="I170" s="362"/>
      <c r="J170" s="363" t="s">
        <v>1424</v>
      </c>
      <c r="K170" s="377"/>
      <c r="L170" s="377"/>
      <c r="M170" s="377"/>
      <c r="N170" s="377"/>
      <c r="O170" s="377"/>
      <c r="P170" s="377"/>
      <c r="Q170" s="377"/>
      <c r="R170" s="377"/>
      <c r="S170" s="377"/>
      <c r="T170" s="377"/>
      <c r="U170" s="372"/>
      <c r="V170" s="361"/>
      <c r="W170" s="370"/>
      <c r="X170" s="370"/>
      <c r="Y170" s="342" t="s">
        <v>1324</v>
      </c>
    </row>
    <row r="171" spans="1:25" ht="22.5" customHeight="1" thickTop="1" thickBot="1">
      <c r="A171" s="370">
        <v>1</v>
      </c>
      <c r="B171" s="370" t="s">
        <v>1326</v>
      </c>
      <c r="C171" s="362" t="s">
        <v>1339</v>
      </c>
      <c r="D171" s="362" t="s">
        <v>1339</v>
      </c>
      <c r="E171" s="370" t="s">
        <v>1339</v>
      </c>
      <c r="F171" s="362" t="s">
        <v>1423</v>
      </c>
      <c r="G171" s="361" t="s">
        <v>1326</v>
      </c>
      <c r="H171" s="362"/>
      <c r="I171" s="362"/>
      <c r="J171" s="367" t="s">
        <v>1425</v>
      </c>
      <c r="K171" s="378"/>
      <c r="L171" s="378"/>
      <c r="M171" s="378"/>
      <c r="N171" s="378"/>
      <c r="O171" s="378"/>
      <c r="P171" s="378"/>
      <c r="Q171" s="378"/>
      <c r="R171" s="378"/>
      <c r="S171" s="378"/>
      <c r="T171" s="378"/>
      <c r="U171" s="374"/>
      <c r="V171" s="361"/>
      <c r="W171" s="370"/>
      <c r="X171" s="370"/>
      <c r="Y171" s="342" t="s">
        <v>1324</v>
      </c>
    </row>
    <row r="172" spans="1:25" ht="22.5" customHeight="1" thickTop="1" thickBot="1">
      <c r="A172" s="370">
        <v>1</v>
      </c>
      <c r="B172" s="370" t="s">
        <v>1326</v>
      </c>
      <c r="C172" s="362" t="s">
        <v>1339</v>
      </c>
      <c r="D172" s="362" t="s">
        <v>1339</v>
      </c>
      <c r="E172" s="370" t="s">
        <v>1339</v>
      </c>
      <c r="F172" s="362" t="s">
        <v>1423</v>
      </c>
      <c r="G172" s="361" t="s">
        <v>1339</v>
      </c>
      <c r="H172" s="362"/>
      <c r="I172" s="362"/>
      <c r="J172" s="367" t="s">
        <v>1426</v>
      </c>
      <c r="K172" s="378"/>
      <c r="L172" s="378"/>
      <c r="M172" s="378"/>
      <c r="N172" s="378"/>
      <c r="O172" s="378"/>
      <c r="P172" s="378"/>
      <c r="Q172" s="378"/>
      <c r="R172" s="378"/>
      <c r="S172" s="378"/>
      <c r="T172" s="378"/>
      <c r="U172" s="374"/>
      <c r="V172" s="361"/>
      <c r="W172" s="370"/>
      <c r="X172" s="370"/>
      <c r="Y172" s="342" t="s">
        <v>1324</v>
      </c>
    </row>
    <row r="173" spans="1:25" ht="22.5" customHeight="1" thickTop="1" thickBot="1">
      <c r="A173" s="355" t="s">
        <v>1322</v>
      </c>
      <c r="B173" s="356" t="s">
        <v>1326</v>
      </c>
      <c r="C173" s="356" t="s">
        <v>1339</v>
      </c>
      <c r="D173" s="356" t="s">
        <v>1363</v>
      </c>
      <c r="E173" s="356"/>
      <c r="F173" s="357"/>
      <c r="G173" s="357"/>
      <c r="H173" s="357"/>
      <c r="I173" s="357"/>
      <c r="J173" s="358" t="s">
        <v>1427</v>
      </c>
      <c r="K173" s="359"/>
      <c r="L173" s="359"/>
      <c r="M173" s="359"/>
      <c r="N173" s="359"/>
      <c r="O173" s="359"/>
      <c r="P173" s="359"/>
      <c r="Q173" s="359"/>
      <c r="R173" s="359"/>
      <c r="S173" s="359"/>
      <c r="T173" s="359"/>
      <c r="U173" s="360"/>
      <c r="V173" s="356"/>
      <c r="W173" s="355" t="s">
        <v>1428</v>
      </c>
      <c r="X173" s="355" t="s">
        <v>1429</v>
      </c>
      <c r="Y173" s="342" t="s">
        <v>1324</v>
      </c>
    </row>
    <row r="174" spans="1:25" s="147" customFormat="1" ht="22.5" customHeight="1" thickTop="1" thickBot="1">
      <c r="A174" s="361" t="s">
        <v>1322</v>
      </c>
      <c r="B174" s="361" t="s">
        <v>1326</v>
      </c>
      <c r="C174" s="361" t="s">
        <v>1339</v>
      </c>
      <c r="D174" s="361" t="s">
        <v>1363</v>
      </c>
      <c r="E174" s="361" t="s">
        <v>1326</v>
      </c>
      <c r="F174" s="361"/>
      <c r="G174" s="361"/>
      <c r="H174" s="362"/>
      <c r="I174" s="362"/>
      <c r="J174" s="363" t="s">
        <v>1248</v>
      </c>
      <c r="K174" s="377"/>
      <c r="L174" s="377"/>
      <c r="M174" s="377"/>
      <c r="N174" s="377"/>
      <c r="O174" s="377"/>
      <c r="P174" s="377"/>
      <c r="Q174" s="377"/>
      <c r="R174" s="377"/>
      <c r="S174" s="377"/>
      <c r="T174" s="377"/>
      <c r="U174" s="372"/>
      <c r="V174" s="366"/>
      <c r="W174" s="366" t="s">
        <v>1430</v>
      </c>
      <c r="X174" s="366" t="s">
        <v>1431</v>
      </c>
      <c r="Y174" s="342" t="s">
        <v>1324</v>
      </c>
    </row>
    <row r="175" spans="1:25" ht="22.5" customHeight="1" thickTop="1" thickBot="1">
      <c r="A175" s="370" t="s">
        <v>1322</v>
      </c>
      <c r="B175" s="362" t="s">
        <v>1326</v>
      </c>
      <c r="C175" s="362" t="s">
        <v>1339</v>
      </c>
      <c r="D175" s="362" t="s">
        <v>1363</v>
      </c>
      <c r="E175" s="362" t="s">
        <v>1326</v>
      </c>
      <c r="F175" s="361" t="s">
        <v>1326</v>
      </c>
      <c r="G175" s="362"/>
      <c r="H175" s="362"/>
      <c r="I175" s="362"/>
      <c r="J175" s="363" t="s">
        <v>1432</v>
      </c>
      <c r="K175" s="377"/>
      <c r="L175" s="377"/>
      <c r="M175" s="377"/>
      <c r="N175" s="377"/>
      <c r="O175" s="377"/>
      <c r="P175" s="377"/>
      <c r="Q175" s="377"/>
      <c r="R175" s="377"/>
      <c r="S175" s="377"/>
      <c r="T175" s="377"/>
      <c r="U175" s="372"/>
      <c r="V175" s="370"/>
      <c r="W175" s="370" t="s">
        <v>1433</v>
      </c>
      <c r="X175" s="370" t="s">
        <v>1434</v>
      </c>
      <c r="Y175" s="342" t="s">
        <v>1324</v>
      </c>
    </row>
    <row r="176" spans="1:25" ht="22.5" customHeight="1" thickTop="1" thickBot="1">
      <c r="A176" s="370" t="s">
        <v>1322</v>
      </c>
      <c r="B176" s="362" t="s">
        <v>1326</v>
      </c>
      <c r="C176" s="362" t="s">
        <v>1339</v>
      </c>
      <c r="D176" s="362" t="s">
        <v>1363</v>
      </c>
      <c r="E176" s="362" t="s">
        <v>1326</v>
      </c>
      <c r="F176" s="362" t="s">
        <v>1326</v>
      </c>
      <c r="G176" s="361" t="s">
        <v>1326</v>
      </c>
      <c r="H176" s="362"/>
      <c r="I176" s="362"/>
      <c r="J176" s="367" t="s">
        <v>1435</v>
      </c>
      <c r="K176" s="377"/>
      <c r="L176" s="377"/>
      <c r="M176" s="377"/>
      <c r="N176" s="377"/>
      <c r="O176" s="377"/>
      <c r="P176" s="377"/>
      <c r="Q176" s="377"/>
      <c r="R176" s="377"/>
      <c r="S176" s="377"/>
      <c r="T176" s="377"/>
      <c r="U176" s="372"/>
      <c r="V176" s="370"/>
      <c r="W176" s="370"/>
      <c r="X176" s="370"/>
      <c r="Y176" s="342" t="s">
        <v>1324</v>
      </c>
    </row>
    <row r="177" spans="1:25" ht="22.5" customHeight="1" thickTop="1" thickBot="1">
      <c r="A177" s="370" t="s">
        <v>1322</v>
      </c>
      <c r="B177" s="362" t="s">
        <v>1326</v>
      </c>
      <c r="C177" s="362" t="s">
        <v>1339</v>
      </c>
      <c r="D177" s="362" t="s">
        <v>1363</v>
      </c>
      <c r="E177" s="362" t="s">
        <v>1326</v>
      </c>
      <c r="F177" s="362" t="s">
        <v>1326</v>
      </c>
      <c r="G177" s="361" t="s">
        <v>1339</v>
      </c>
      <c r="H177" s="362"/>
      <c r="I177" s="362"/>
      <c r="J177" s="367" t="s">
        <v>1436</v>
      </c>
      <c r="K177" s="378"/>
      <c r="L177" s="378"/>
      <c r="M177" s="378"/>
      <c r="N177" s="378"/>
      <c r="O177" s="378"/>
      <c r="P177" s="378"/>
      <c r="Q177" s="378"/>
      <c r="R177" s="378"/>
      <c r="S177" s="378"/>
      <c r="T177" s="378"/>
      <c r="U177" s="374"/>
      <c r="V177" s="370"/>
      <c r="W177" s="370"/>
      <c r="X177" s="370"/>
      <c r="Y177" s="342" t="s">
        <v>1324</v>
      </c>
    </row>
    <row r="178" spans="1:25" ht="22.5" customHeight="1" thickTop="1" thickBot="1">
      <c r="A178" s="370" t="s">
        <v>1322</v>
      </c>
      <c r="B178" s="362" t="s">
        <v>1326</v>
      </c>
      <c r="C178" s="362" t="s">
        <v>1339</v>
      </c>
      <c r="D178" s="362" t="s">
        <v>1363</v>
      </c>
      <c r="E178" s="362" t="s">
        <v>1326</v>
      </c>
      <c r="F178" s="362" t="s">
        <v>1326</v>
      </c>
      <c r="G178" s="361" t="s">
        <v>1363</v>
      </c>
      <c r="H178" s="362"/>
      <c r="I178" s="362"/>
      <c r="J178" s="367" t="s">
        <v>1791</v>
      </c>
      <c r="K178" s="378"/>
      <c r="L178" s="378"/>
      <c r="M178" s="378"/>
      <c r="N178" s="378"/>
      <c r="O178" s="378"/>
      <c r="P178" s="378"/>
      <c r="Q178" s="378"/>
      <c r="R178" s="378"/>
      <c r="S178" s="378"/>
      <c r="T178" s="378"/>
      <c r="U178" s="374"/>
      <c r="V178" s="370"/>
      <c r="W178" s="370"/>
      <c r="X178" s="370"/>
      <c r="Y178" s="342"/>
    </row>
    <row r="179" spans="1:25" ht="22.5" customHeight="1" thickTop="1" thickBot="1">
      <c r="A179" s="370" t="s">
        <v>1322</v>
      </c>
      <c r="B179" s="362" t="s">
        <v>1326</v>
      </c>
      <c r="C179" s="362" t="s">
        <v>1339</v>
      </c>
      <c r="D179" s="362" t="s">
        <v>1363</v>
      </c>
      <c r="E179" s="362" t="s">
        <v>1326</v>
      </c>
      <c r="F179" s="362" t="s">
        <v>1326</v>
      </c>
      <c r="G179" s="361" t="s">
        <v>1367</v>
      </c>
      <c r="H179" s="362"/>
      <c r="I179" s="362"/>
      <c r="J179" s="367" t="s">
        <v>1792</v>
      </c>
      <c r="K179" s="378"/>
      <c r="L179" s="378"/>
      <c r="M179" s="378"/>
      <c r="N179" s="378"/>
      <c r="O179" s="378"/>
      <c r="P179" s="378"/>
      <c r="Q179" s="378"/>
      <c r="R179" s="378"/>
      <c r="S179" s="378"/>
      <c r="T179" s="378"/>
      <c r="U179" s="374"/>
      <c r="V179" s="370"/>
      <c r="W179" s="370"/>
      <c r="X179" s="370"/>
      <c r="Y179" s="342"/>
    </row>
    <row r="180" spans="1:25" ht="22.5" customHeight="1" thickTop="1" thickBot="1">
      <c r="A180" s="370" t="s">
        <v>1322</v>
      </c>
      <c r="B180" s="362" t="s">
        <v>1326</v>
      </c>
      <c r="C180" s="362" t="s">
        <v>1339</v>
      </c>
      <c r="D180" s="362" t="s">
        <v>1363</v>
      </c>
      <c r="E180" s="362" t="s">
        <v>1326</v>
      </c>
      <c r="F180" s="362" t="s">
        <v>1326</v>
      </c>
      <c r="G180" s="361" t="s">
        <v>1392</v>
      </c>
      <c r="H180" s="362"/>
      <c r="I180" s="362"/>
      <c r="J180" s="367" t="s">
        <v>1793</v>
      </c>
      <c r="K180" s="378"/>
      <c r="L180" s="378"/>
      <c r="M180" s="378"/>
      <c r="N180" s="378"/>
      <c r="O180" s="378"/>
      <c r="P180" s="378"/>
      <c r="Q180" s="378"/>
      <c r="R180" s="378"/>
      <c r="S180" s="378"/>
      <c r="T180" s="378"/>
      <c r="U180" s="374"/>
      <c r="V180" s="370"/>
      <c r="W180" s="370"/>
      <c r="X180" s="370"/>
      <c r="Y180" s="342"/>
    </row>
    <row r="181" spans="1:25" ht="22.5" customHeight="1" thickTop="1" thickBot="1">
      <c r="A181" s="370" t="s">
        <v>1322</v>
      </c>
      <c r="B181" s="362" t="s">
        <v>1326</v>
      </c>
      <c r="C181" s="362" t="s">
        <v>1339</v>
      </c>
      <c r="D181" s="362" t="s">
        <v>1363</v>
      </c>
      <c r="E181" s="362" t="s">
        <v>1326</v>
      </c>
      <c r="F181" s="362" t="s">
        <v>1326</v>
      </c>
      <c r="G181" s="361" t="s">
        <v>1415</v>
      </c>
      <c r="H181" s="362"/>
      <c r="I181" s="362"/>
      <c r="J181" s="367" t="s">
        <v>1794</v>
      </c>
      <c r="K181" s="378"/>
      <c r="L181" s="378"/>
      <c r="M181" s="378"/>
      <c r="N181" s="378"/>
      <c r="O181" s="378"/>
      <c r="P181" s="378"/>
      <c r="Q181" s="378"/>
      <c r="R181" s="378"/>
      <c r="S181" s="378"/>
      <c r="T181" s="378"/>
      <c r="U181" s="374"/>
      <c r="V181" s="370"/>
      <c r="W181" s="370"/>
      <c r="X181" s="370"/>
      <c r="Y181" s="342"/>
    </row>
    <row r="182" spans="1:25" ht="22.5" customHeight="1" thickTop="1" thickBot="1">
      <c r="A182" s="370" t="s">
        <v>1322</v>
      </c>
      <c r="B182" s="362" t="s">
        <v>1326</v>
      </c>
      <c r="C182" s="362" t="s">
        <v>1339</v>
      </c>
      <c r="D182" s="362" t="s">
        <v>1363</v>
      </c>
      <c r="E182" s="362" t="s">
        <v>1326</v>
      </c>
      <c r="F182" s="362" t="s">
        <v>1326</v>
      </c>
      <c r="G182" s="361" t="s">
        <v>1419</v>
      </c>
      <c r="H182" s="362"/>
      <c r="I182" s="362"/>
      <c r="J182" s="367" t="s">
        <v>1795</v>
      </c>
      <c r="K182" s="378"/>
      <c r="L182" s="378"/>
      <c r="M182" s="378"/>
      <c r="N182" s="378"/>
      <c r="O182" s="378"/>
      <c r="P182" s="378"/>
      <c r="Q182" s="378"/>
      <c r="R182" s="378"/>
      <c r="S182" s="378"/>
      <c r="T182" s="378"/>
      <c r="U182" s="374"/>
      <c r="V182" s="370"/>
      <c r="W182" s="370"/>
      <c r="X182" s="370"/>
      <c r="Y182" s="342"/>
    </row>
    <row r="183" spans="1:25" ht="22.5" customHeight="1" thickTop="1" thickBot="1">
      <c r="A183" s="370" t="s">
        <v>1322</v>
      </c>
      <c r="B183" s="362" t="s">
        <v>1326</v>
      </c>
      <c r="C183" s="362" t="s">
        <v>1339</v>
      </c>
      <c r="D183" s="362" t="s">
        <v>1363</v>
      </c>
      <c r="E183" s="362" t="s">
        <v>1326</v>
      </c>
      <c r="F183" s="362" t="s">
        <v>1326</v>
      </c>
      <c r="G183" s="361" t="s">
        <v>1423</v>
      </c>
      <c r="H183" s="362"/>
      <c r="I183" s="362"/>
      <c r="J183" s="367" t="s">
        <v>1792</v>
      </c>
      <c r="K183" s="378"/>
      <c r="L183" s="378"/>
      <c r="M183" s="378"/>
      <c r="N183" s="378"/>
      <c r="O183" s="378"/>
      <c r="P183" s="378"/>
      <c r="Q183" s="378"/>
      <c r="R183" s="378"/>
      <c r="S183" s="378"/>
      <c r="T183" s="378"/>
      <c r="U183" s="374"/>
      <c r="V183" s="370"/>
      <c r="W183" s="370"/>
      <c r="X183" s="370"/>
      <c r="Y183" s="342"/>
    </row>
    <row r="184" spans="1:25" s="422" customFormat="1" ht="22.5" customHeight="1" thickTop="1" thickBot="1">
      <c r="A184" s="415" t="s">
        <v>1322</v>
      </c>
      <c r="B184" s="416" t="s">
        <v>1326</v>
      </c>
      <c r="C184" s="416" t="s">
        <v>1339</v>
      </c>
      <c r="D184" s="416" t="s">
        <v>1363</v>
      </c>
      <c r="E184" s="416" t="s">
        <v>1326</v>
      </c>
      <c r="F184" s="417" t="s">
        <v>1339</v>
      </c>
      <c r="G184" s="416"/>
      <c r="H184" s="416"/>
      <c r="I184" s="416"/>
      <c r="J184" s="418" t="s">
        <v>1790</v>
      </c>
      <c r="K184" s="419"/>
      <c r="L184" s="419"/>
      <c r="M184" s="419"/>
      <c r="N184" s="419"/>
      <c r="O184" s="419"/>
      <c r="P184" s="419"/>
      <c r="Q184" s="419"/>
      <c r="R184" s="419"/>
      <c r="S184" s="419"/>
      <c r="T184" s="419"/>
      <c r="U184" s="420"/>
      <c r="V184" s="415"/>
      <c r="W184" s="415" t="s">
        <v>1437</v>
      </c>
      <c r="X184" s="415" t="s">
        <v>1438</v>
      </c>
      <c r="Y184" s="421" t="s">
        <v>1324</v>
      </c>
    </row>
    <row r="185" spans="1:25" ht="22.5" customHeight="1" thickTop="1" thickBot="1">
      <c r="A185" s="370"/>
      <c r="B185" s="362"/>
      <c r="C185" s="362"/>
      <c r="D185" s="362"/>
      <c r="E185" s="362"/>
      <c r="F185" s="362"/>
      <c r="G185" s="361"/>
      <c r="H185" s="362"/>
      <c r="I185" s="362"/>
      <c r="J185" s="367"/>
      <c r="K185" s="378"/>
      <c r="L185" s="378"/>
      <c r="M185" s="378"/>
      <c r="N185" s="378"/>
      <c r="O185" s="378"/>
      <c r="P185" s="378"/>
      <c r="Q185" s="378"/>
      <c r="R185" s="378"/>
      <c r="S185" s="378"/>
      <c r="T185" s="378"/>
      <c r="U185" s="374"/>
      <c r="V185" s="370"/>
      <c r="W185" s="370"/>
      <c r="X185" s="370"/>
      <c r="Y185" s="342"/>
    </row>
    <row r="186" spans="1:25" ht="22.5" customHeight="1" thickTop="1" thickBot="1">
      <c r="A186" s="355" t="s">
        <v>1322</v>
      </c>
      <c r="B186" s="356" t="s">
        <v>1326</v>
      </c>
      <c r="C186" s="356" t="s">
        <v>1339</v>
      </c>
      <c r="D186" s="356" t="s">
        <v>1367</v>
      </c>
      <c r="E186" s="356"/>
      <c r="F186" s="357"/>
      <c r="G186" s="357"/>
      <c r="H186" s="357"/>
      <c r="I186" s="357"/>
      <c r="J186" s="358" t="s">
        <v>1439</v>
      </c>
      <c r="K186" s="376"/>
      <c r="L186" s="376"/>
      <c r="M186" s="376"/>
      <c r="N186" s="376"/>
      <c r="O186" s="376"/>
      <c r="P186" s="376"/>
      <c r="Q186" s="376"/>
      <c r="R186" s="376"/>
      <c r="S186" s="376"/>
      <c r="T186" s="376"/>
      <c r="U186" s="360"/>
      <c r="V186" s="356"/>
      <c r="W186" s="355" t="s">
        <v>1397</v>
      </c>
      <c r="X186" s="355" t="s">
        <v>1398</v>
      </c>
      <c r="Y186" s="342" t="s">
        <v>1324</v>
      </c>
    </row>
    <row r="187" spans="1:25" s="147" customFormat="1" ht="22.5" customHeight="1" thickTop="1" thickBot="1">
      <c r="A187" s="366" t="s">
        <v>1322</v>
      </c>
      <c r="B187" s="366" t="s">
        <v>1326</v>
      </c>
      <c r="C187" s="361" t="s">
        <v>1339</v>
      </c>
      <c r="D187" s="361" t="s">
        <v>1367</v>
      </c>
      <c r="E187" s="361" t="s">
        <v>1326</v>
      </c>
      <c r="F187" s="361"/>
      <c r="G187" s="361"/>
      <c r="H187" s="362"/>
      <c r="I187" s="362"/>
      <c r="J187" s="363" t="s">
        <v>1440</v>
      </c>
      <c r="K187" s="377"/>
      <c r="L187" s="377"/>
      <c r="M187" s="377"/>
      <c r="N187" s="377"/>
      <c r="O187" s="377"/>
      <c r="P187" s="377"/>
      <c r="Q187" s="377"/>
      <c r="R187" s="377"/>
      <c r="S187" s="377"/>
      <c r="T187" s="377"/>
      <c r="U187" s="372"/>
      <c r="V187" s="361"/>
      <c r="W187" s="366" t="s">
        <v>1441</v>
      </c>
      <c r="X187" s="366"/>
      <c r="Y187" s="342" t="s">
        <v>1324</v>
      </c>
    </row>
    <row r="188" spans="1:25" s="147" customFormat="1" ht="22.5" customHeight="1" thickTop="1" thickBot="1">
      <c r="A188" s="370" t="s">
        <v>1322</v>
      </c>
      <c r="B188" s="370" t="s">
        <v>1326</v>
      </c>
      <c r="C188" s="362" t="s">
        <v>1339</v>
      </c>
      <c r="D188" s="362" t="s">
        <v>1367</v>
      </c>
      <c r="E188" s="370" t="s">
        <v>1326</v>
      </c>
      <c r="F188" s="361" t="s">
        <v>1326</v>
      </c>
      <c r="G188" s="361"/>
      <c r="H188" s="362"/>
      <c r="I188" s="362"/>
      <c r="J188" s="363" t="s">
        <v>1442</v>
      </c>
      <c r="K188" s="377"/>
      <c r="L188" s="377"/>
      <c r="M188" s="377"/>
      <c r="N188" s="377"/>
      <c r="O188" s="377"/>
      <c r="P188" s="377"/>
      <c r="Q188" s="377"/>
      <c r="R188" s="377"/>
      <c r="S188" s="377"/>
      <c r="T188" s="377"/>
      <c r="U188" s="372"/>
      <c r="V188" s="361"/>
      <c r="W188" s="366"/>
      <c r="X188" s="366"/>
      <c r="Y188" s="342"/>
    </row>
    <row r="189" spans="1:25" ht="22.5" customHeight="1" thickTop="1" thickBot="1">
      <c r="A189" s="370" t="s">
        <v>1322</v>
      </c>
      <c r="B189" s="370" t="s">
        <v>1326</v>
      </c>
      <c r="C189" s="362" t="s">
        <v>1339</v>
      </c>
      <c r="D189" s="362" t="s">
        <v>1367</v>
      </c>
      <c r="E189" s="370" t="s">
        <v>1326</v>
      </c>
      <c r="F189" s="362" t="s">
        <v>1326</v>
      </c>
      <c r="G189" s="361" t="s">
        <v>1326</v>
      </c>
      <c r="H189" s="362"/>
      <c r="I189" s="362"/>
      <c r="J189" s="363" t="s">
        <v>1443</v>
      </c>
      <c r="K189" s="377"/>
      <c r="L189" s="377"/>
      <c r="M189" s="377"/>
      <c r="N189" s="377"/>
      <c r="O189" s="377"/>
      <c r="P189" s="377"/>
      <c r="Q189" s="377"/>
      <c r="R189" s="377"/>
      <c r="S189" s="377"/>
      <c r="T189" s="377"/>
      <c r="U189" s="372"/>
      <c r="V189" s="361"/>
      <c r="W189" s="370" t="s">
        <v>1400</v>
      </c>
      <c r="X189" s="370"/>
      <c r="Y189" s="342" t="s">
        <v>1324</v>
      </c>
    </row>
    <row r="190" spans="1:25" ht="22.5" customHeight="1" thickTop="1" thickBot="1">
      <c r="A190" s="370" t="s">
        <v>1322</v>
      </c>
      <c r="B190" s="370" t="s">
        <v>1326</v>
      </c>
      <c r="C190" s="362" t="s">
        <v>1339</v>
      </c>
      <c r="D190" s="362" t="s">
        <v>1367</v>
      </c>
      <c r="E190" s="370" t="s">
        <v>1326</v>
      </c>
      <c r="F190" s="362" t="s">
        <v>1326</v>
      </c>
      <c r="G190" s="362" t="s">
        <v>1326</v>
      </c>
      <c r="H190" s="362" t="s">
        <v>1326</v>
      </c>
      <c r="I190" s="362"/>
      <c r="J190" s="363" t="s">
        <v>1444</v>
      </c>
      <c r="K190" s="378"/>
      <c r="L190" s="378"/>
      <c r="M190" s="378"/>
      <c r="N190" s="378"/>
      <c r="O190" s="378"/>
      <c r="P190" s="378"/>
      <c r="Q190" s="378"/>
      <c r="R190" s="378"/>
      <c r="S190" s="378"/>
      <c r="T190" s="378"/>
      <c r="U190" s="372"/>
      <c r="V190" s="361"/>
      <c r="W190" s="370"/>
      <c r="X190" s="370"/>
      <c r="Y190" s="342" t="s">
        <v>1324</v>
      </c>
    </row>
    <row r="191" spans="1:25" ht="22.5" customHeight="1" thickTop="1" thickBot="1">
      <c r="A191" s="370" t="s">
        <v>1322</v>
      </c>
      <c r="B191" s="370" t="s">
        <v>1326</v>
      </c>
      <c r="C191" s="362" t="s">
        <v>1339</v>
      </c>
      <c r="D191" s="362" t="s">
        <v>1367</v>
      </c>
      <c r="E191" s="370" t="s">
        <v>1326</v>
      </c>
      <c r="F191" s="362" t="s">
        <v>1326</v>
      </c>
      <c r="G191" s="362" t="s">
        <v>1326</v>
      </c>
      <c r="H191" s="362" t="s">
        <v>1326</v>
      </c>
      <c r="I191" s="362" t="s">
        <v>1326</v>
      </c>
      <c r="J191" s="367" t="s">
        <v>1445</v>
      </c>
      <c r="K191" s="378"/>
      <c r="L191" s="378"/>
      <c r="M191" s="378"/>
      <c r="N191" s="378"/>
      <c r="O191" s="378"/>
      <c r="P191" s="378"/>
      <c r="Q191" s="378"/>
      <c r="R191" s="378"/>
      <c r="S191" s="378"/>
      <c r="T191" s="378"/>
      <c r="U191" s="374"/>
      <c r="V191" s="361"/>
      <c r="W191" s="370"/>
      <c r="X191" s="370"/>
      <c r="Y191" s="342"/>
    </row>
    <row r="192" spans="1:25" ht="22.5" customHeight="1" thickTop="1" thickBot="1">
      <c r="A192" s="370" t="s">
        <v>1322</v>
      </c>
      <c r="B192" s="370" t="s">
        <v>1326</v>
      </c>
      <c r="C192" s="362" t="s">
        <v>1339</v>
      </c>
      <c r="D192" s="362" t="s">
        <v>1367</v>
      </c>
      <c r="E192" s="370" t="s">
        <v>1326</v>
      </c>
      <c r="F192" s="362" t="s">
        <v>1326</v>
      </c>
      <c r="G192" s="362" t="s">
        <v>1326</v>
      </c>
      <c r="H192" s="362" t="s">
        <v>1326</v>
      </c>
      <c r="I192" s="362" t="s">
        <v>1339</v>
      </c>
      <c r="J192" s="367" t="s">
        <v>1446</v>
      </c>
      <c r="K192" s="378"/>
      <c r="L192" s="378"/>
      <c r="M192" s="378"/>
      <c r="N192" s="378"/>
      <c r="O192" s="378"/>
      <c r="P192" s="378"/>
      <c r="Q192" s="378"/>
      <c r="R192" s="378"/>
      <c r="S192" s="378"/>
      <c r="T192" s="378"/>
      <c r="U192" s="374"/>
      <c r="V192" s="361"/>
      <c r="W192" s="370"/>
      <c r="X192" s="370"/>
      <c r="Y192" s="342"/>
    </row>
    <row r="193" spans="1:25" ht="22.5" customHeight="1" thickTop="1" thickBot="1">
      <c r="A193" s="370" t="s">
        <v>1322</v>
      </c>
      <c r="B193" s="370" t="s">
        <v>1326</v>
      </c>
      <c r="C193" s="362" t="s">
        <v>1339</v>
      </c>
      <c r="D193" s="362" t="s">
        <v>1367</v>
      </c>
      <c r="E193" s="370" t="s">
        <v>1326</v>
      </c>
      <c r="F193" s="362" t="s">
        <v>1326</v>
      </c>
      <c r="G193" s="362" t="s">
        <v>1326</v>
      </c>
      <c r="H193" s="362" t="s">
        <v>1339</v>
      </c>
      <c r="I193" s="362"/>
      <c r="J193" s="363" t="s">
        <v>1447</v>
      </c>
      <c r="K193" s="378"/>
      <c r="L193" s="378"/>
      <c r="M193" s="378"/>
      <c r="N193" s="378"/>
      <c r="O193" s="378"/>
      <c r="P193" s="378"/>
      <c r="Q193" s="378"/>
      <c r="R193" s="378"/>
      <c r="S193" s="378"/>
      <c r="T193" s="378"/>
      <c r="U193" s="372"/>
      <c r="V193" s="361"/>
      <c r="W193" s="370"/>
      <c r="X193" s="370"/>
      <c r="Y193" s="342" t="s">
        <v>1324</v>
      </c>
    </row>
    <row r="194" spans="1:25" ht="22.5" customHeight="1" thickTop="1" thickBot="1">
      <c r="A194" s="370" t="s">
        <v>1322</v>
      </c>
      <c r="B194" s="370" t="s">
        <v>1326</v>
      </c>
      <c r="C194" s="362" t="s">
        <v>1339</v>
      </c>
      <c r="D194" s="362" t="s">
        <v>1367</v>
      </c>
      <c r="E194" s="370" t="s">
        <v>1326</v>
      </c>
      <c r="F194" s="362" t="s">
        <v>1326</v>
      </c>
      <c r="G194" s="362" t="s">
        <v>1326</v>
      </c>
      <c r="H194" s="362" t="s">
        <v>1339</v>
      </c>
      <c r="I194" s="362" t="s">
        <v>1326</v>
      </c>
      <c r="J194" s="367" t="s">
        <v>1448</v>
      </c>
      <c r="K194" s="378"/>
      <c r="L194" s="378"/>
      <c r="M194" s="378"/>
      <c r="N194" s="378"/>
      <c r="O194" s="378"/>
      <c r="P194" s="378"/>
      <c r="Q194" s="378"/>
      <c r="R194" s="378"/>
      <c r="S194" s="378"/>
      <c r="T194" s="378"/>
      <c r="U194" s="374"/>
      <c r="V194" s="361"/>
      <c r="W194" s="370"/>
      <c r="X194" s="370"/>
      <c r="Y194" s="342"/>
    </row>
    <row r="195" spans="1:25" ht="22.5" customHeight="1" thickTop="1" thickBot="1">
      <c r="A195" s="370" t="s">
        <v>1322</v>
      </c>
      <c r="B195" s="370" t="s">
        <v>1326</v>
      </c>
      <c r="C195" s="362" t="s">
        <v>1339</v>
      </c>
      <c r="D195" s="362" t="s">
        <v>1367</v>
      </c>
      <c r="E195" s="370" t="s">
        <v>1326</v>
      </c>
      <c r="F195" s="362" t="s">
        <v>1326</v>
      </c>
      <c r="G195" s="362" t="s">
        <v>1326</v>
      </c>
      <c r="H195" s="362" t="s">
        <v>1339</v>
      </c>
      <c r="I195" s="362" t="s">
        <v>1339</v>
      </c>
      <c r="J195" s="367" t="s">
        <v>1449</v>
      </c>
      <c r="K195" s="378"/>
      <c r="L195" s="378"/>
      <c r="M195" s="378"/>
      <c r="N195" s="378"/>
      <c r="O195" s="378"/>
      <c r="P195" s="378"/>
      <c r="Q195" s="378"/>
      <c r="R195" s="378"/>
      <c r="S195" s="378"/>
      <c r="T195" s="378"/>
      <c r="U195" s="374"/>
      <c r="V195" s="361"/>
      <c r="W195" s="370"/>
      <c r="X195" s="370"/>
      <c r="Y195" s="342"/>
    </row>
    <row r="196" spans="1:25" ht="22.5" customHeight="1" thickTop="1" thickBot="1">
      <c r="A196" s="370" t="s">
        <v>1322</v>
      </c>
      <c r="B196" s="370" t="s">
        <v>1326</v>
      </c>
      <c r="C196" s="362" t="s">
        <v>1339</v>
      </c>
      <c r="D196" s="362" t="s">
        <v>1367</v>
      </c>
      <c r="E196" s="370" t="s">
        <v>1326</v>
      </c>
      <c r="F196" s="361" t="s">
        <v>1339</v>
      </c>
      <c r="G196" s="362"/>
      <c r="H196" s="362"/>
      <c r="I196" s="362"/>
      <c r="J196" s="363" t="s">
        <v>1450</v>
      </c>
      <c r="K196" s="378"/>
      <c r="L196" s="378"/>
      <c r="M196" s="378"/>
      <c r="N196" s="378"/>
      <c r="O196" s="378"/>
      <c r="P196" s="378"/>
      <c r="Q196" s="378"/>
      <c r="R196" s="378"/>
      <c r="S196" s="378"/>
      <c r="T196" s="378"/>
      <c r="U196" s="372"/>
      <c r="V196" s="361"/>
      <c r="W196" s="370"/>
      <c r="X196" s="370"/>
      <c r="Y196" s="342"/>
    </row>
    <row r="197" spans="1:25" ht="22.5" customHeight="1" thickTop="1" thickBot="1">
      <c r="A197" s="370" t="s">
        <v>1322</v>
      </c>
      <c r="B197" s="370" t="s">
        <v>1326</v>
      </c>
      <c r="C197" s="362" t="s">
        <v>1339</v>
      </c>
      <c r="D197" s="362" t="s">
        <v>1367</v>
      </c>
      <c r="E197" s="370" t="s">
        <v>1326</v>
      </c>
      <c r="F197" s="362" t="s">
        <v>1339</v>
      </c>
      <c r="G197" s="361" t="s">
        <v>1326</v>
      </c>
      <c r="H197" s="362"/>
      <c r="I197" s="362"/>
      <c r="J197" s="367" t="s">
        <v>1451</v>
      </c>
      <c r="K197" s="378"/>
      <c r="L197" s="378"/>
      <c r="M197" s="378"/>
      <c r="N197" s="378"/>
      <c r="O197" s="378"/>
      <c r="P197" s="378"/>
      <c r="Q197" s="378"/>
      <c r="R197" s="378"/>
      <c r="S197" s="378"/>
      <c r="T197" s="378"/>
      <c r="U197" s="374"/>
      <c r="V197" s="361"/>
      <c r="W197" s="370"/>
      <c r="X197" s="370"/>
      <c r="Y197" s="342"/>
    </row>
    <row r="198" spans="1:25" ht="22.5" customHeight="1" thickTop="1" thickBot="1">
      <c r="A198" s="370" t="s">
        <v>1322</v>
      </c>
      <c r="B198" s="370" t="s">
        <v>1326</v>
      </c>
      <c r="C198" s="362" t="s">
        <v>1339</v>
      </c>
      <c r="D198" s="362" t="s">
        <v>1367</v>
      </c>
      <c r="E198" s="370" t="s">
        <v>1326</v>
      </c>
      <c r="F198" s="362" t="s">
        <v>1339</v>
      </c>
      <c r="G198" s="361" t="s">
        <v>1339</v>
      </c>
      <c r="H198" s="362"/>
      <c r="I198" s="362"/>
      <c r="J198" s="367" t="s">
        <v>1452</v>
      </c>
      <c r="K198" s="378"/>
      <c r="L198" s="378"/>
      <c r="M198" s="378"/>
      <c r="N198" s="378"/>
      <c r="O198" s="378"/>
      <c r="P198" s="378"/>
      <c r="Q198" s="378"/>
      <c r="R198" s="378"/>
      <c r="S198" s="378"/>
      <c r="T198" s="378"/>
      <c r="U198" s="374"/>
      <c r="V198" s="361"/>
      <c r="W198" s="370"/>
      <c r="X198" s="370"/>
      <c r="Y198" s="342"/>
    </row>
    <row r="199" spans="1:25" s="147" customFormat="1" ht="22.5" customHeight="1" thickTop="1" thickBot="1">
      <c r="A199" s="366" t="s">
        <v>1322</v>
      </c>
      <c r="B199" s="366" t="s">
        <v>1326</v>
      </c>
      <c r="C199" s="361" t="s">
        <v>1339</v>
      </c>
      <c r="D199" s="361" t="s">
        <v>1367</v>
      </c>
      <c r="E199" s="361" t="s">
        <v>1339</v>
      </c>
      <c r="F199" s="361"/>
      <c r="G199" s="361"/>
      <c r="H199" s="362"/>
      <c r="I199" s="362"/>
      <c r="J199" s="363" t="s">
        <v>1453</v>
      </c>
      <c r="K199" s="379"/>
      <c r="L199" s="379"/>
      <c r="M199" s="379"/>
      <c r="N199" s="379"/>
      <c r="O199" s="379"/>
      <c r="P199" s="379"/>
      <c r="Q199" s="379"/>
      <c r="R199" s="379"/>
      <c r="S199" s="379"/>
      <c r="T199" s="379"/>
      <c r="U199" s="365"/>
      <c r="V199" s="361"/>
      <c r="W199" s="366" t="s">
        <v>1454</v>
      </c>
      <c r="X199" s="366"/>
      <c r="Y199" s="342" t="s">
        <v>1324</v>
      </c>
    </row>
    <row r="200" spans="1:25" ht="22.5" customHeight="1" thickTop="1" thickBot="1">
      <c r="A200" s="362" t="s">
        <v>1322</v>
      </c>
      <c r="B200" s="370" t="s">
        <v>1326</v>
      </c>
      <c r="C200" s="362" t="s">
        <v>1339</v>
      </c>
      <c r="D200" s="362" t="s">
        <v>1367</v>
      </c>
      <c r="E200" s="362" t="s">
        <v>1339</v>
      </c>
      <c r="F200" s="361" t="s">
        <v>1326</v>
      </c>
      <c r="G200" s="362"/>
      <c r="H200" s="362"/>
      <c r="I200" s="362"/>
      <c r="J200" s="363" t="s">
        <v>1455</v>
      </c>
      <c r="K200" s="377"/>
      <c r="L200" s="377"/>
      <c r="M200" s="377"/>
      <c r="N200" s="377"/>
      <c r="O200" s="377"/>
      <c r="P200" s="377"/>
      <c r="Q200" s="377"/>
      <c r="R200" s="377"/>
      <c r="S200" s="377"/>
      <c r="T200" s="377"/>
      <c r="U200" s="372"/>
      <c r="V200" s="361"/>
      <c r="W200" s="370" t="s">
        <v>1456</v>
      </c>
      <c r="X200" s="370" t="s">
        <v>1457</v>
      </c>
      <c r="Y200" s="342" t="s">
        <v>1324</v>
      </c>
    </row>
    <row r="201" spans="1:25" ht="22.5" customHeight="1" thickTop="1" thickBot="1">
      <c r="A201" s="370" t="s">
        <v>1322</v>
      </c>
      <c r="B201" s="370" t="s">
        <v>1326</v>
      </c>
      <c r="C201" s="362" t="s">
        <v>1339</v>
      </c>
      <c r="D201" s="362" t="s">
        <v>1367</v>
      </c>
      <c r="E201" s="362" t="s">
        <v>1339</v>
      </c>
      <c r="F201" s="362" t="s">
        <v>1326</v>
      </c>
      <c r="G201" s="361" t="s">
        <v>1326</v>
      </c>
      <c r="H201" s="362"/>
      <c r="I201" s="362"/>
      <c r="J201" s="367" t="s">
        <v>1458</v>
      </c>
      <c r="K201" s="378"/>
      <c r="L201" s="378"/>
      <c r="M201" s="378"/>
      <c r="N201" s="378"/>
      <c r="O201" s="378"/>
      <c r="P201" s="378"/>
      <c r="Q201" s="378"/>
      <c r="R201" s="378"/>
      <c r="S201" s="378"/>
      <c r="T201" s="378"/>
      <c r="U201" s="374"/>
      <c r="V201" s="361"/>
      <c r="W201" s="370"/>
      <c r="X201" s="370"/>
      <c r="Y201" s="342" t="s">
        <v>1324</v>
      </c>
    </row>
    <row r="202" spans="1:25" ht="22.5" customHeight="1" thickTop="1" thickBot="1">
      <c r="A202" s="370" t="s">
        <v>1322</v>
      </c>
      <c r="B202" s="370" t="s">
        <v>1326</v>
      </c>
      <c r="C202" s="362" t="s">
        <v>1339</v>
      </c>
      <c r="D202" s="362" t="s">
        <v>1367</v>
      </c>
      <c r="E202" s="362" t="s">
        <v>1339</v>
      </c>
      <c r="F202" s="362" t="s">
        <v>1326</v>
      </c>
      <c r="G202" s="361" t="s">
        <v>1339</v>
      </c>
      <c r="H202" s="362"/>
      <c r="I202" s="362"/>
      <c r="J202" s="367" t="s">
        <v>1459</v>
      </c>
      <c r="K202" s="378"/>
      <c r="L202" s="378"/>
      <c r="M202" s="378"/>
      <c r="N202" s="378"/>
      <c r="O202" s="378"/>
      <c r="P202" s="378"/>
      <c r="Q202" s="378"/>
      <c r="R202" s="378"/>
      <c r="S202" s="378"/>
      <c r="T202" s="378"/>
      <c r="U202" s="374"/>
      <c r="V202" s="361"/>
      <c r="W202" s="370"/>
      <c r="X202" s="370"/>
      <c r="Y202" s="342" t="s">
        <v>1324</v>
      </c>
    </row>
    <row r="203" spans="1:25" ht="22.5" customHeight="1" thickTop="1" thickBot="1">
      <c r="A203" s="370" t="s">
        <v>1322</v>
      </c>
      <c r="B203" s="370" t="s">
        <v>1326</v>
      </c>
      <c r="C203" s="362" t="s">
        <v>1339</v>
      </c>
      <c r="D203" s="362" t="s">
        <v>1367</v>
      </c>
      <c r="E203" s="362" t="s">
        <v>1339</v>
      </c>
      <c r="F203" s="361" t="s">
        <v>1339</v>
      </c>
      <c r="G203" s="362"/>
      <c r="H203" s="362"/>
      <c r="I203" s="362"/>
      <c r="J203" s="363" t="s">
        <v>1460</v>
      </c>
      <c r="K203" s="377"/>
      <c r="L203" s="377"/>
      <c r="M203" s="377"/>
      <c r="N203" s="377"/>
      <c r="O203" s="377"/>
      <c r="P203" s="377"/>
      <c r="Q203" s="377"/>
      <c r="R203" s="377"/>
      <c r="S203" s="377"/>
      <c r="T203" s="377"/>
      <c r="U203" s="372"/>
      <c r="V203" s="361"/>
      <c r="W203" s="370"/>
      <c r="X203" s="370"/>
      <c r="Y203" s="342" t="s">
        <v>1324</v>
      </c>
    </row>
    <row r="204" spans="1:25" ht="22.5" customHeight="1" thickTop="1" thickBot="1">
      <c r="A204" s="370" t="s">
        <v>1322</v>
      </c>
      <c r="B204" s="370" t="s">
        <v>1326</v>
      </c>
      <c r="C204" s="362" t="s">
        <v>1339</v>
      </c>
      <c r="D204" s="362" t="s">
        <v>1367</v>
      </c>
      <c r="E204" s="362" t="s">
        <v>1339</v>
      </c>
      <c r="F204" s="362" t="s">
        <v>1339</v>
      </c>
      <c r="G204" s="361" t="s">
        <v>1326</v>
      </c>
      <c r="H204" s="362"/>
      <c r="I204" s="362"/>
      <c r="J204" s="367" t="s">
        <v>1461</v>
      </c>
      <c r="K204" s="378"/>
      <c r="L204" s="378"/>
      <c r="M204" s="378"/>
      <c r="N204" s="378"/>
      <c r="O204" s="378"/>
      <c r="P204" s="378"/>
      <c r="Q204" s="378"/>
      <c r="R204" s="378"/>
      <c r="S204" s="378"/>
      <c r="T204" s="378"/>
      <c r="U204" s="374"/>
      <c r="V204" s="361"/>
      <c r="W204" s="370"/>
      <c r="X204" s="370"/>
      <c r="Y204" s="342" t="s">
        <v>1324</v>
      </c>
    </row>
    <row r="205" spans="1:25" ht="22.5" customHeight="1" thickTop="1" thickBot="1">
      <c r="A205" s="370" t="s">
        <v>1322</v>
      </c>
      <c r="B205" s="370" t="s">
        <v>1326</v>
      </c>
      <c r="C205" s="362" t="s">
        <v>1339</v>
      </c>
      <c r="D205" s="362" t="s">
        <v>1367</v>
      </c>
      <c r="E205" s="362" t="s">
        <v>1339</v>
      </c>
      <c r="F205" s="362" t="s">
        <v>1339</v>
      </c>
      <c r="G205" s="361" t="s">
        <v>1339</v>
      </c>
      <c r="H205" s="362"/>
      <c r="I205" s="362"/>
      <c r="J205" s="367" t="s">
        <v>1462</v>
      </c>
      <c r="K205" s="378"/>
      <c r="L205" s="378"/>
      <c r="M205" s="378"/>
      <c r="N205" s="378"/>
      <c r="O205" s="378"/>
      <c r="P205" s="378"/>
      <c r="Q205" s="378"/>
      <c r="R205" s="378"/>
      <c r="S205" s="378"/>
      <c r="T205" s="378"/>
      <c r="U205" s="374"/>
      <c r="V205" s="361"/>
      <c r="W205" s="370"/>
      <c r="X205" s="370"/>
      <c r="Y205" s="342" t="s">
        <v>1324</v>
      </c>
    </row>
    <row r="206" spans="1:25" ht="22.5" customHeight="1" thickTop="1" thickBot="1">
      <c r="A206" s="370" t="s">
        <v>1322</v>
      </c>
      <c r="B206" s="370" t="s">
        <v>1326</v>
      </c>
      <c r="C206" s="362" t="s">
        <v>1339</v>
      </c>
      <c r="D206" s="362" t="s">
        <v>1367</v>
      </c>
      <c r="E206" s="362" t="s">
        <v>1339</v>
      </c>
      <c r="F206" s="361" t="s">
        <v>1363</v>
      </c>
      <c r="G206" s="362"/>
      <c r="H206" s="362"/>
      <c r="I206" s="362"/>
      <c r="J206" s="363" t="s">
        <v>1463</v>
      </c>
      <c r="K206" s="377"/>
      <c r="L206" s="377"/>
      <c r="M206" s="377"/>
      <c r="N206" s="377"/>
      <c r="O206" s="377"/>
      <c r="P206" s="377"/>
      <c r="Q206" s="377"/>
      <c r="R206" s="377"/>
      <c r="S206" s="377"/>
      <c r="T206" s="377"/>
      <c r="U206" s="372"/>
      <c r="V206" s="361"/>
      <c r="W206" s="370"/>
      <c r="X206" s="370"/>
      <c r="Y206" s="342" t="s">
        <v>1324</v>
      </c>
    </row>
    <row r="207" spans="1:25" ht="22.5" customHeight="1" thickTop="1" thickBot="1">
      <c r="A207" s="370" t="s">
        <v>1322</v>
      </c>
      <c r="B207" s="370" t="s">
        <v>1326</v>
      </c>
      <c r="C207" s="362" t="s">
        <v>1339</v>
      </c>
      <c r="D207" s="362" t="s">
        <v>1367</v>
      </c>
      <c r="E207" s="362" t="s">
        <v>1339</v>
      </c>
      <c r="F207" s="362" t="s">
        <v>1363</v>
      </c>
      <c r="G207" s="361" t="s">
        <v>1326</v>
      </c>
      <c r="H207" s="362"/>
      <c r="I207" s="362"/>
      <c r="J207" s="367" t="s">
        <v>1464</v>
      </c>
      <c r="K207" s="378"/>
      <c r="L207" s="378"/>
      <c r="M207" s="378"/>
      <c r="N207" s="378"/>
      <c r="O207" s="378"/>
      <c r="P207" s="378"/>
      <c r="Q207" s="378"/>
      <c r="R207" s="378"/>
      <c r="S207" s="378"/>
      <c r="T207" s="378"/>
      <c r="U207" s="374"/>
      <c r="V207" s="361"/>
      <c r="W207" s="370"/>
      <c r="X207" s="370"/>
      <c r="Y207" s="342" t="s">
        <v>1324</v>
      </c>
    </row>
    <row r="208" spans="1:25" ht="22.5" customHeight="1" thickTop="1" thickBot="1">
      <c r="A208" s="370" t="s">
        <v>1322</v>
      </c>
      <c r="B208" s="370" t="s">
        <v>1326</v>
      </c>
      <c r="C208" s="362" t="s">
        <v>1339</v>
      </c>
      <c r="D208" s="362" t="s">
        <v>1367</v>
      </c>
      <c r="E208" s="362" t="s">
        <v>1339</v>
      </c>
      <c r="F208" s="362" t="s">
        <v>1363</v>
      </c>
      <c r="G208" s="361" t="s">
        <v>1339</v>
      </c>
      <c r="H208" s="362"/>
      <c r="I208" s="362"/>
      <c r="J208" s="367" t="s">
        <v>1465</v>
      </c>
      <c r="K208" s="378"/>
      <c r="L208" s="378"/>
      <c r="M208" s="378"/>
      <c r="N208" s="378"/>
      <c r="O208" s="378"/>
      <c r="P208" s="378"/>
      <c r="Q208" s="378"/>
      <c r="R208" s="378"/>
      <c r="S208" s="378"/>
      <c r="T208" s="378"/>
      <c r="U208" s="374"/>
      <c r="V208" s="361"/>
      <c r="W208" s="370"/>
      <c r="X208" s="370"/>
      <c r="Y208" s="342" t="s">
        <v>1324</v>
      </c>
    </row>
    <row r="209" spans="1:25" ht="22.5" customHeight="1" thickTop="1" thickBot="1">
      <c r="A209" s="370" t="s">
        <v>1322</v>
      </c>
      <c r="B209" s="370" t="s">
        <v>1326</v>
      </c>
      <c r="C209" s="362" t="s">
        <v>1339</v>
      </c>
      <c r="D209" s="362" t="s">
        <v>1367</v>
      </c>
      <c r="E209" s="362" t="s">
        <v>1339</v>
      </c>
      <c r="F209" s="361" t="s">
        <v>1367</v>
      </c>
      <c r="G209" s="362"/>
      <c r="H209" s="362"/>
      <c r="I209" s="362"/>
      <c r="J209" s="363" t="s">
        <v>1466</v>
      </c>
      <c r="K209" s="377"/>
      <c r="L209" s="377"/>
      <c r="M209" s="377"/>
      <c r="N209" s="377"/>
      <c r="O209" s="377"/>
      <c r="P209" s="377"/>
      <c r="Q209" s="377"/>
      <c r="R209" s="377"/>
      <c r="S209" s="377"/>
      <c r="T209" s="377"/>
      <c r="U209" s="372"/>
      <c r="V209" s="361"/>
      <c r="W209" s="370"/>
      <c r="X209" s="370"/>
      <c r="Y209" s="342" t="s">
        <v>1324</v>
      </c>
    </row>
    <row r="210" spans="1:25" ht="22.5" customHeight="1" thickTop="1" thickBot="1">
      <c r="A210" s="370" t="s">
        <v>1322</v>
      </c>
      <c r="B210" s="370" t="s">
        <v>1326</v>
      </c>
      <c r="C210" s="362" t="s">
        <v>1339</v>
      </c>
      <c r="D210" s="362" t="s">
        <v>1367</v>
      </c>
      <c r="E210" s="362" t="s">
        <v>1339</v>
      </c>
      <c r="F210" s="362" t="s">
        <v>1367</v>
      </c>
      <c r="G210" s="361" t="s">
        <v>1326</v>
      </c>
      <c r="H210" s="362"/>
      <c r="I210" s="362"/>
      <c r="J210" s="367" t="s">
        <v>1467</v>
      </c>
      <c r="K210" s="378"/>
      <c r="L210" s="378"/>
      <c r="M210" s="378"/>
      <c r="N210" s="378"/>
      <c r="O210" s="378"/>
      <c r="P210" s="378"/>
      <c r="Q210" s="378"/>
      <c r="R210" s="378"/>
      <c r="S210" s="378"/>
      <c r="T210" s="378"/>
      <c r="U210" s="374"/>
      <c r="V210" s="361"/>
      <c r="W210" s="370"/>
      <c r="X210" s="370"/>
      <c r="Y210" s="342" t="s">
        <v>1324</v>
      </c>
    </row>
    <row r="211" spans="1:25" ht="22.5" customHeight="1" thickTop="1" thickBot="1">
      <c r="A211" s="370" t="s">
        <v>1322</v>
      </c>
      <c r="B211" s="370" t="s">
        <v>1326</v>
      </c>
      <c r="C211" s="362" t="s">
        <v>1339</v>
      </c>
      <c r="D211" s="362" t="s">
        <v>1367</v>
      </c>
      <c r="E211" s="362" t="s">
        <v>1339</v>
      </c>
      <c r="F211" s="362" t="s">
        <v>1367</v>
      </c>
      <c r="G211" s="361" t="s">
        <v>1339</v>
      </c>
      <c r="H211" s="362"/>
      <c r="I211" s="362"/>
      <c r="J211" s="367" t="s">
        <v>1468</v>
      </c>
      <c r="K211" s="378"/>
      <c r="L211" s="378"/>
      <c r="M211" s="378"/>
      <c r="N211" s="378"/>
      <c r="O211" s="378"/>
      <c r="P211" s="378"/>
      <c r="Q211" s="378"/>
      <c r="R211" s="378"/>
      <c r="S211" s="378"/>
      <c r="T211" s="378"/>
      <c r="U211" s="374"/>
      <c r="V211" s="361"/>
      <c r="W211" s="370"/>
      <c r="X211" s="370"/>
      <c r="Y211" s="342" t="s">
        <v>1324</v>
      </c>
    </row>
    <row r="212" spans="1:25" s="426" customFormat="1" ht="22.5" customHeight="1" thickTop="1" thickBot="1">
      <c r="A212" s="423" t="s">
        <v>1322</v>
      </c>
      <c r="B212" s="417" t="s">
        <v>1326</v>
      </c>
      <c r="C212" s="417" t="s">
        <v>1339</v>
      </c>
      <c r="D212" s="417" t="s">
        <v>1392</v>
      </c>
      <c r="E212" s="417"/>
      <c r="F212" s="417"/>
      <c r="G212" s="417"/>
      <c r="H212" s="416"/>
      <c r="I212" s="416"/>
      <c r="J212" s="418" t="s">
        <v>1469</v>
      </c>
      <c r="K212" s="424"/>
      <c r="L212" s="424"/>
      <c r="M212" s="424"/>
      <c r="N212" s="424"/>
      <c r="O212" s="424"/>
      <c r="P212" s="424"/>
      <c r="Q212" s="424"/>
      <c r="R212" s="424"/>
      <c r="S212" s="424"/>
      <c r="T212" s="424"/>
      <c r="U212" s="425"/>
      <c r="V212" s="417"/>
      <c r="W212" s="417"/>
      <c r="X212" s="417"/>
      <c r="Y212" s="421" t="s">
        <v>1324</v>
      </c>
    </row>
    <row r="213" spans="1:25" s="426" customFormat="1" ht="22.5" customHeight="1" thickTop="1" thickBot="1">
      <c r="A213" s="423"/>
      <c r="B213" s="423"/>
      <c r="C213" s="417"/>
      <c r="D213" s="417"/>
      <c r="E213" s="417"/>
      <c r="F213" s="417"/>
      <c r="G213" s="417"/>
      <c r="H213" s="416"/>
      <c r="I213" s="416"/>
      <c r="J213" s="418"/>
      <c r="K213" s="424"/>
      <c r="L213" s="424"/>
      <c r="M213" s="424"/>
      <c r="N213" s="424"/>
      <c r="O213" s="424"/>
      <c r="P213" s="424"/>
      <c r="Q213" s="424"/>
      <c r="R213" s="424"/>
      <c r="S213" s="424"/>
      <c r="T213" s="424"/>
      <c r="U213" s="425"/>
      <c r="V213" s="417"/>
      <c r="W213" s="423"/>
      <c r="X213" s="423"/>
      <c r="Y213" s="421"/>
    </row>
    <row r="214" spans="1:25" s="422" customFormat="1" ht="22.5" customHeight="1" thickTop="1" thickBot="1">
      <c r="A214" s="415"/>
      <c r="B214" s="417"/>
      <c r="C214" s="417"/>
      <c r="D214" s="417"/>
      <c r="E214" s="417"/>
      <c r="F214" s="417"/>
      <c r="G214" s="417"/>
      <c r="H214" s="416"/>
      <c r="I214" s="416"/>
      <c r="J214" s="418"/>
      <c r="K214" s="424"/>
      <c r="L214" s="424"/>
      <c r="M214" s="424"/>
      <c r="N214" s="424"/>
      <c r="O214" s="424"/>
      <c r="P214" s="424"/>
      <c r="Q214" s="424"/>
      <c r="R214" s="424"/>
      <c r="S214" s="424"/>
      <c r="T214" s="424"/>
      <c r="U214" s="424"/>
      <c r="V214" s="417"/>
      <c r="W214" s="417"/>
      <c r="X214" s="417"/>
      <c r="Y214" s="421"/>
    </row>
    <row r="215" spans="1:25" s="147" customFormat="1" ht="22.5" customHeight="1" thickTop="1" thickBot="1">
      <c r="A215" s="343" t="s">
        <v>1322</v>
      </c>
      <c r="B215" s="344" t="s">
        <v>1339</v>
      </c>
      <c r="C215" s="344"/>
      <c r="D215" s="344"/>
      <c r="E215" s="344"/>
      <c r="F215" s="344"/>
      <c r="G215" s="344"/>
      <c r="H215" s="345"/>
      <c r="I215" s="345"/>
      <c r="J215" s="346" t="s">
        <v>1498</v>
      </c>
      <c r="K215" s="347"/>
      <c r="L215" s="347"/>
      <c r="M215" s="347"/>
      <c r="N215" s="347"/>
      <c r="O215" s="347"/>
      <c r="P215" s="347"/>
      <c r="Q215" s="347"/>
      <c r="R215" s="347"/>
      <c r="S215" s="347"/>
      <c r="T215" s="347"/>
      <c r="U215" s="348"/>
      <c r="V215" s="343"/>
      <c r="W215" s="343" t="s">
        <v>1499</v>
      </c>
      <c r="X215" s="343"/>
      <c r="Y215" s="342" t="s">
        <v>1324</v>
      </c>
    </row>
    <row r="216" spans="1:25" s="147" customFormat="1" ht="22.5" customHeight="1" thickTop="1" thickBot="1">
      <c r="A216" s="349" t="s">
        <v>1322</v>
      </c>
      <c r="B216" s="350" t="s">
        <v>1339</v>
      </c>
      <c r="C216" s="350" t="s">
        <v>1326</v>
      </c>
      <c r="D216" s="350"/>
      <c r="E216" s="350"/>
      <c r="F216" s="350"/>
      <c r="G216" s="350"/>
      <c r="H216" s="351"/>
      <c r="I216" s="351"/>
      <c r="J216" s="352" t="s">
        <v>1500</v>
      </c>
      <c r="K216" s="353"/>
      <c r="L216" s="353"/>
      <c r="M216" s="353"/>
      <c r="N216" s="353"/>
      <c r="O216" s="353"/>
      <c r="P216" s="353"/>
      <c r="Q216" s="353"/>
      <c r="R216" s="353"/>
      <c r="S216" s="353"/>
      <c r="T216" s="353"/>
      <c r="U216" s="354"/>
      <c r="V216" s="350"/>
      <c r="W216" s="349" t="s">
        <v>1501</v>
      </c>
      <c r="X216" s="350"/>
      <c r="Y216" s="342" t="s">
        <v>1324</v>
      </c>
    </row>
    <row r="217" spans="1:25" s="147" customFormat="1" ht="22.5" customHeight="1" thickTop="1" thickBot="1">
      <c r="A217" s="355" t="s">
        <v>1322</v>
      </c>
      <c r="B217" s="356" t="s">
        <v>1339</v>
      </c>
      <c r="C217" s="356" t="s">
        <v>1326</v>
      </c>
      <c r="D217" s="356" t="s">
        <v>1326</v>
      </c>
      <c r="E217" s="356"/>
      <c r="F217" s="356"/>
      <c r="G217" s="356"/>
      <c r="H217" s="357"/>
      <c r="I217" s="357"/>
      <c r="J217" s="358" t="s">
        <v>1502</v>
      </c>
      <c r="K217" s="359"/>
      <c r="L217" s="359"/>
      <c r="M217" s="359"/>
      <c r="N217" s="359"/>
      <c r="O217" s="359"/>
      <c r="P217" s="359"/>
      <c r="Q217" s="359"/>
      <c r="R217" s="359"/>
      <c r="S217" s="359"/>
      <c r="T217" s="359"/>
      <c r="U217" s="360"/>
      <c r="V217" s="356"/>
      <c r="W217" s="355" t="s">
        <v>1503</v>
      </c>
      <c r="X217" s="355"/>
      <c r="Y217" s="342" t="s">
        <v>1324</v>
      </c>
    </row>
    <row r="218" spans="1:25" s="147" customFormat="1" ht="22.5" customHeight="1" thickTop="1" thickBot="1">
      <c r="A218" s="366" t="s">
        <v>1322</v>
      </c>
      <c r="B218" s="361" t="s">
        <v>1339</v>
      </c>
      <c r="C218" s="361" t="s">
        <v>1326</v>
      </c>
      <c r="D218" s="361" t="s">
        <v>1326</v>
      </c>
      <c r="E218" s="361" t="s">
        <v>1326</v>
      </c>
      <c r="F218" s="361"/>
      <c r="G218" s="361"/>
      <c r="H218" s="362"/>
      <c r="I218" s="362"/>
      <c r="J218" s="363" t="s">
        <v>1504</v>
      </c>
      <c r="K218" s="364"/>
      <c r="L218" s="364"/>
      <c r="M218" s="364"/>
      <c r="N218" s="364"/>
      <c r="O218" s="364"/>
      <c r="P218" s="364"/>
      <c r="Q218" s="364"/>
      <c r="R218" s="364"/>
      <c r="S218" s="364"/>
      <c r="T218" s="364"/>
      <c r="U218" s="365"/>
      <c r="V218" s="361"/>
      <c r="W218" s="366" t="s">
        <v>1505</v>
      </c>
      <c r="X218" s="366"/>
      <c r="Y218" s="342" t="s">
        <v>1324</v>
      </c>
    </row>
    <row r="219" spans="1:25" ht="22.5" customHeight="1" thickTop="1" thickBot="1">
      <c r="A219" s="370" t="s">
        <v>1322</v>
      </c>
      <c r="B219" s="362" t="s">
        <v>1339</v>
      </c>
      <c r="C219" s="362" t="s">
        <v>1326</v>
      </c>
      <c r="D219" s="362" t="s">
        <v>1326</v>
      </c>
      <c r="E219" s="362" t="s">
        <v>1326</v>
      </c>
      <c r="F219" s="361" t="s">
        <v>1326</v>
      </c>
      <c r="G219" s="362"/>
      <c r="H219" s="362"/>
      <c r="I219" s="362"/>
      <c r="J219" s="367" t="s">
        <v>1506</v>
      </c>
      <c r="K219" s="368"/>
      <c r="L219" s="368"/>
      <c r="M219" s="368"/>
      <c r="N219" s="368"/>
      <c r="O219" s="368"/>
      <c r="P219" s="368"/>
      <c r="Q219" s="368"/>
      <c r="R219" s="368"/>
      <c r="S219" s="368"/>
      <c r="T219" s="368"/>
      <c r="U219" s="369"/>
      <c r="V219" s="361"/>
      <c r="W219" s="370" t="s">
        <v>1507</v>
      </c>
      <c r="X219" s="370"/>
      <c r="Y219" s="342" t="s">
        <v>1324</v>
      </c>
    </row>
    <row r="220" spans="1:25" ht="22.5" customHeight="1" thickTop="1" thickBot="1">
      <c r="A220" s="370" t="s">
        <v>1322</v>
      </c>
      <c r="B220" s="362" t="s">
        <v>1339</v>
      </c>
      <c r="C220" s="362" t="s">
        <v>1326</v>
      </c>
      <c r="D220" s="362" t="s">
        <v>1326</v>
      </c>
      <c r="E220" s="362" t="s">
        <v>1326</v>
      </c>
      <c r="F220" s="361" t="s">
        <v>1339</v>
      </c>
      <c r="G220" s="362"/>
      <c r="H220" s="362"/>
      <c r="I220" s="362"/>
      <c r="J220" s="367" t="s">
        <v>1508</v>
      </c>
      <c r="K220" s="368"/>
      <c r="L220" s="368"/>
      <c r="M220" s="368"/>
      <c r="N220" s="368"/>
      <c r="O220" s="368"/>
      <c r="P220" s="368"/>
      <c r="Q220" s="368"/>
      <c r="R220" s="368"/>
      <c r="S220" s="368"/>
      <c r="T220" s="368"/>
      <c r="U220" s="369"/>
      <c r="V220" s="361"/>
      <c r="W220" s="370" t="s">
        <v>1509</v>
      </c>
      <c r="X220" s="370"/>
      <c r="Y220" s="342" t="s">
        <v>1324</v>
      </c>
    </row>
    <row r="221" spans="1:25" ht="22.5" customHeight="1" thickTop="1" thickBot="1">
      <c r="A221" s="370" t="s">
        <v>1322</v>
      </c>
      <c r="B221" s="362" t="s">
        <v>1339</v>
      </c>
      <c r="C221" s="362" t="s">
        <v>1326</v>
      </c>
      <c r="D221" s="362" t="s">
        <v>1326</v>
      </c>
      <c r="E221" s="362" t="s">
        <v>1326</v>
      </c>
      <c r="F221" s="361" t="s">
        <v>1363</v>
      </c>
      <c r="G221" s="362"/>
      <c r="H221" s="362"/>
      <c r="I221" s="362"/>
      <c r="J221" s="367" t="s">
        <v>1510</v>
      </c>
      <c r="K221" s="368"/>
      <c r="L221" s="368"/>
      <c r="M221" s="368"/>
      <c r="N221" s="368"/>
      <c r="O221" s="368"/>
      <c r="P221" s="368"/>
      <c r="Q221" s="368"/>
      <c r="R221" s="368"/>
      <c r="S221" s="368"/>
      <c r="T221" s="368"/>
      <c r="U221" s="369"/>
      <c r="V221" s="361"/>
      <c r="W221" s="370" t="s">
        <v>1511</v>
      </c>
      <c r="X221" s="370"/>
      <c r="Y221" s="342" t="s">
        <v>1324</v>
      </c>
    </row>
    <row r="222" spans="1:25" ht="22.5" customHeight="1" thickTop="1" thickBot="1">
      <c r="A222" s="370" t="s">
        <v>1322</v>
      </c>
      <c r="B222" s="362" t="s">
        <v>1339</v>
      </c>
      <c r="C222" s="362" t="s">
        <v>1326</v>
      </c>
      <c r="D222" s="362" t="s">
        <v>1326</v>
      </c>
      <c r="E222" s="362" t="s">
        <v>1326</v>
      </c>
      <c r="F222" s="362" t="s">
        <v>1363</v>
      </c>
      <c r="G222" s="361" t="s">
        <v>1326</v>
      </c>
      <c r="H222" s="362"/>
      <c r="I222" s="362"/>
      <c r="J222" s="367" t="s">
        <v>1512</v>
      </c>
      <c r="K222" s="364"/>
      <c r="L222" s="364"/>
      <c r="M222" s="364"/>
      <c r="N222" s="364"/>
      <c r="O222" s="364"/>
      <c r="P222" s="364"/>
      <c r="Q222" s="364"/>
      <c r="R222" s="364"/>
      <c r="S222" s="364"/>
      <c r="T222" s="364"/>
      <c r="U222" s="365"/>
      <c r="V222" s="361"/>
      <c r="W222" s="370" t="s">
        <v>1513</v>
      </c>
      <c r="X222" s="370"/>
      <c r="Y222" s="342" t="s">
        <v>1324</v>
      </c>
    </row>
    <row r="223" spans="1:25" s="147" customFormat="1" ht="22.5" customHeight="1" thickTop="1" thickBot="1">
      <c r="A223" s="366" t="s">
        <v>1322</v>
      </c>
      <c r="B223" s="361" t="s">
        <v>1339</v>
      </c>
      <c r="C223" s="361" t="s">
        <v>1326</v>
      </c>
      <c r="D223" s="361" t="s">
        <v>1326</v>
      </c>
      <c r="E223" s="361" t="s">
        <v>1339</v>
      </c>
      <c r="F223" s="361"/>
      <c r="G223" s="361"/>
      <c r="H223" s="362"/>
      <c r="I223" s="362"/>
      <c r="J223" s="363" t="s">
        <v>1514</v>
      </c>
      <c r="K223" s="364"/>
      <c r="L223" s="364"/>
      <c r="M223" s="364"/>
      <c r="N223" s="364"/>
      <c r="O223" s="364"/>
      <c r="P223" s="364"/>
      <c r="Q223" s="364"/>
      <c r="R223" s="364"/>
      <c r="S223" s="364"/>
      <c r="T223" s="364"/>
      <c r="U223" s="365"/>
      <c r="V223" s="361"/>
      <c r="W223" s="366" t="s">
        <v>1515</v>
      </c>
      <c r="X223" s="366"/>
      <c r="Y223" s="342" t="s">
        <v>1324</v>
      </c>
    </row>
    <row r="224" spans="1:25" ht="22.5" customHeight="1" thickTop="1" thickBot="1">
      <c r="A224" s="370" t="s">
        <v>1322</v>
      </c>
      <c r="B224" s="362" t="s">
        <v>1339</v>
      </c>
      <c r="C224" s="362" t="s">
        <v>1326</v>
      </c>
      <c r="D224" s="362" t="s">
        <v>1326</v>
      </c>
      <c r="E224" s="362" t="s">
        <v>1339</v>
      </c>
      <c r="F224" s="361" t="s">
        <v>1326</v>
      </c>
      <c r="G224" s="362"/>
      <c r="H224" s="362"/>
      <c r="I224" s="362"/>
      <c r="J224" s="367" t="s">
        <v>1516</v>
      </c>
      <c r="K224" s="368"/>
      <c r="L224" s="368"/>
      <c r="M224" s="368"/>
      <c r="N224" s="368"/>
      <c r="O224" s="368"/>
      <c r="P224" s="368"/>
      <c r="Q224" s="368"/>
      <c r="R224" s="368"/>
      <c r="S224" s="368"/>
      <c r="T224" s="368"/>
      <c r="U224" s="369"/>
      <c r="V224" s="361"/>
      <c r="W224" s="370" t="s">
        <v>1517</v>
      </c>
      <c r="X224" s="370"/>
      <c r="Y224" s="342" t="s">
        <v>1324</v>
      </c>
    </row>
    <row r="225" spans="1:25" s="426" customFormat="1" ht="22.5" customHeight="1" thickTop="1" thickBot="1">
      <c r="A225" s="423" t="s">
        <v>1322</v>
      </c>
      <c r="B225" s="417" t="s">
        <v>1339</v>
      </c>
      <c r="C225" s="417" t="s">
        <v>1339</v>
      </c>
      <c r="D225" s="417"/>
      <c r="E225" s="417"/>
      <c r="F225" s="417"/>
      <c r="G225" s="417"/>
      <c r="H225" s="416"/>
      <c r="I225" s="416"/>
      <c r="J225" s="418" t="s">
        <v>1518</v>
      </c>
      <c r="K225" s="424"/>
      <c r="L225" s="424"/>
      <c r="M225" s="424"/>
      <c r="N225" s="424"/>
      <c r="O225" s="424"/>
      <c r="P225" s="424"/>
      <c r="Q225" s="424"/>
      <c r="R225" s="424"/>
      <c r="S225" s="424"/>
      <c r="T225" s="424"/>
      <c r="U225" s="425"/>
      <c r="V225" s="417"/>
      <c r="W225" s="417" t="s">
        <v>1519</v>
      </c>
      <c r="X225" s="417"/>
      <c r="Y225" s="421" t="s">
        <v>1324</v>
      </c>
    </row>
    <row r="226" spans="1:25" s="426" customFormat="1" ht="22.5" customHeight="1" thickTop="1" thickBot="1">
      <c r="A226" s="423"/>
      <c r="B226" s="417"/>
      <c r="C226" s="417"/>
      <c r="D226" s="417"/>
      <c r="E226" s="417"/>
      <c r="F226" s="417"/>
      <c r="G226" s="417"/>
      <c r="H226" s="416"/>
      <c r="I226" s="416"/>
      <c r="J226" s="418"/>
      <c r="K226" s="424"/>
      <c r="L226" s="424"/>
      <c r="M226" s="424"/>
      <c r="N226" s="424"/>
      <c r="O226" s="424"/>
      <c r="P226" s="424"/>
      <c r="Q226" s="424"/>
      <c r="R226" s="424"/>
      <c r="S226" s="424"/>
      <c r="T226" s="424"/>
      <c r="U226" s="425"/>
      <c r="V226" s="417"/>
      <c r="W226" s="423"/>
      <c r="X226" s="423"/>
      <c r="Y226" s="421"/>
    </row>
    <row r="227" spans="1:25" s="426" customFormat="1" ht="22.5" customHeight="1" thickTop="1" thickBot="1">
      <c r="A227" s="423"/>
      <c r="B227" s="417"/>
      <c r="C227" s="417"/>
      <c r="D227" s="417"/>
      <c r="E227" s="417"/>
      <c r="F227" s="417"/>
      <c r="G227" s="417"/>
      <c r="H227" s="416"/>
      <c r="I227" s="416"/>
      <c r="J227" s="418"/>
      <c r="K227" s="424"/>
      <c r="L227" s="424"/>
      <c r="M227" s="424"/>
      <c r="N227" s="424"/>
      <c r="O227" s="424"/>
      <c r="P227" s="424"/>
      <c r="Q227" s="424"/>
      <c r="R227" s="424"/>
      <c r="S227" s="424"/>
      <c r="T227" s="424"/>
      <c r="U227" s="425"/>
      <c r="V227" s="417"/>
      <c r="W227" s="423"/>
      <c r="X227" s="423"/>
      <c r="Y227" s="421"/>
    </row>
    <row r="228" spans="1:25" s="426" customFormat="1" ht="22.5" customHeight="1" thickTop="1" thickBot="1">
      <c r="A228" s="423"/>
      <c r="B228" s="417"/>
      <c r="C228" s="417"/>
      <c r="D228" s="417"/>
      <c r="E228" s="417"/>
      <c r="F228" s="417"/>
      <c r="G228" s="417"/>
      <c r="H228" s="416"/>
      <c r="I228" s="416"/>
      <c r="J228" s="418"/>
      <c r="K228" s="424"/>
      <c r="L228" s="424"/>
      <c r="M228" s="424"/>
      <c r="N228" s="424"/>
      <c r="O228" s="424"/>
      <c r="P228" s="424"/>
      <c r="Q228" s="424"/>
      <c r="R228" s="424"/>
      <c r="S228" s="424"/>
      <c r="T228" s="424"/>
      <c r="U228" s="425"/>
      <c r="V228" s="423"/>
      <c r="W228" s="423"/>
      <c r="X228" s="423"/>
      <c r="Y228" s="421"/>
    </row>
    <row r="229" spans="1:25" s="147" customFormat="1" ht="22.5" customHeight="1" thickTop="1" thickBot="1">
      <c r="A229" s="349" t="s">
        <v>1322</v>
      </c>
      <c r="B229" s="350" t="s">
        <v>1339</v>
      </c>
      <c r="C229" s="350" t="s">
        <v>1363</v>
      </c>
      <c r="D229" s="350"/>
      <c r="E229" s="350"/>
      <c r="F229" s="350"/>
      <c r="G229" s="350"/>
      <c r="H229" s="351"/>
      <c r="I229" s="351"/>
      <c r="J229" s="352" t="s">
        <v>1524</v>
      </c>
      <c r="K229" s="381"/>
      <c r="L229" s="381"/>
      <c r="M229" s="381"/>
      <c r="N229" s="381"/>
      <c r="O229" s="381"/>
      <c r="P229" s="381"/>
      <c r="Q229" s="381"/>
      <c r="R229" s="381"/>
      <c r="S229" s="381"/>
      <c r="T229" s="381"/>
      <c r="U229" s="354"/>
      <c r="V229" s="350"/>
      <c r="W229" s="350" t="s">
        <v>1525</v>
      </c>
      <c r="X229" s="350"/>
      <c r="Y229" s="342" t="s">
        <v>1324</v>
      </c>
    </row>
    <row r="230" spans="1:25" s="147" customFormat="1" ht="22.5" customHeight="1" thickTop="1" thickBot="1">
      <c r="A230" s="356" t="s">
        <v>1322</v>
      </c>
      <c r="B230" s="356" t="s">
        <v>1339</v>
      </c>
      <c r="C230" s="356" t="s">
        <v>1363</v>
      </c>
      <c r="D230" s="356" t="s">
        <v>1326</v>
      </c>
      <c r="E230" s="356"/>
      <c r="F230" s="356"/>
      <c r="G230" s="356"/>
      <c r="H230" s="357"/>
      <c r="I230" s="357"/>
      <c r="J230" s="358" t="s">
        <v>1526</v>
      </c>
      <c r="K230" s="376"/>
      <c r="L230" s="376"/>
      <c r="M230" s="376"/>
      <c r="N230" s="376"/>
      <c r="O230" s="376"/>
      <c r="P230" s="376"/>
      <c r="Q230" s="376"/>
      <c r="R230" s="376"/>
      <c r="S230" s="376"/>
      <c r="T230" s="376"/>
      <c r="U230" s="360"/>
      <c r="V230" s="356"/>
      <c r="W230" s="355" t="s">
        <v>1527</v>
      </c>
      <c r="X230" s="355" t="s">
        <v>1528</v>
      </c>
      <c r="Y230" s="342" t="s">
        <v>1324</v>
      </c>
    </row>
    <row r="231" spans="1:25" s="147" customFormat="1" ht="22.5" customHeight="1" thickTop="1" thickBot="1">
      <c r="A231" s="366" t="s">
        <v>1322</v>
      </c>
      <c r="B231" s="361" t="s">
        <v>1339</v>
      </c>
      <c r="C231" s="361" t="s">
        <v>1363</v>
      </c>
      <c r="D231" s="361" t="s">
        <v>1326</v>
      </c>
      <c r="E231" s="361" t="s">
        <v>1326</v>
      </c>
      <c r="F231" s="361"/>
      <c r="G231" s="361"/>
      <c r="H231" s="362"/>
      <c r="I231" s="362"/>
      <c r="J231" s="363" t="s">
        <v>1529</v>
      </c>
      <c r="K231" s="379"/>
      <c r="L231" s="379"/>
      <c r="M231" s="379"/>
      <c r="N231" s="379"/>
      <c r="O231" s="379"/>
      <c r="P231" s="379"/>
      <c r="Q231" s="379"/>
      <c r="R231" s="379"/>
      <c r="S231" s="379"/>
      <c r="T231" s="379"/>
      <c r="U231" s="365"/>
      <c r="V231" s="366"/>
      <c r="W231" s="366" t="s">
        <v>1530</v>
      </c>
      <c r="X231" s="366" t="s">
        <v>1531</v>
      </c>
      <c r="Y231" s="342" t="s">
        <v>1324</v>
      </c>
    </row>
    <row r="232" spans="1:25" s="147" customFormat="1" ht="22.5" customHeight="1" thickTop="1" thickBot="1">
      <c r="A232" s="366" t="s">
        <v>1322</v>
      </c>
      <c r="B232" s="361" t="s">
        <v>1339</v>
      </c>
      <c r="C232" s="361" t="s">
        <v>1363</v>
      </c>
      <c r="D232" s="361" t="s">
        <v>1326</v>
      </c>
      <c r="E232" s="361" t="s">
        <v>1339</v>
      </c>
      <c r="F232" s="361"/>
      <c r="G232" s="361"/>
      <c r="H232" s="362"/>
      <c r="I232" s="362"/>
      <c r="J232" s="363" t="s">
        <v>1532</v>
      </c>
      <c r="K232" s="379"/>
      <c r="L232" s="379"/>
      <c r="M232" s="379"/>
      <c r="N232" s="379"/>
      <c r="O232" s="379"/>
      <c r="P232" s="379"/>
      <c r="Q232" s="379"/>
      <c r="R232" s="379"/>
      <c r="S232" s="379"/>
      <c r="T232" s="379"/>
      <c r="U232" s="365"/>
      <c r="V232" s="361"/>
      <c r="W232" s="366" t="s">
        <v>1533</v>
      </c>
      <c r="X232" s="366"/>
      <c r="Y232" s="342" t="s">
        <v>1324</v>
      </c>
    </row>
    <row r="233" spans="1:25" s="147" customFormat="1" ht="22.5" customHeight="1" thickTop="1" thickBot="1">
      <c r="A233" s="355" t="s">
        <v>1322</v>
      </c>
      <c r="B233" s="356" t="s">
        <v>1339</v>
      </c>
      <c r="C233" s="356" t="s">
        <v>1363</v>
      </c>
      <c r="D233" s="356" t="s">
        <v>1339</v>
      </c>
      <c r="E233" s="356"/>
      <c r="F233" s="356"/>
      <c r="G233" s="356"/>
      <c r="H233" s="357"/>
      <c r="I233" s="357"/>
      <c r="J233" s="358" t="s">
        <v>1534</v>
      </c>
      <c r="K233" s="376"/>
      <c r="L233" s="376"/>
      <c r="M233" s="376"/>
      <c r="N233" s="376"/>
      <c r="O233" s="376"/>
      <c r="P233" s="376"/>
      <c r="Q233" s="376"/>
      <c r="R233" s="376"/>
      <c r="S233" s="376"/>
      <c r="T233" s="376"/>
      <c r="U233" s="360"/>
      <c r="V233" s="356"/>
      <c r="W233" s="355" t="s">
        <v>1535</v>
      </c>
      <c r="X233" s="355"/>
      <c r="Y233" s="342" t="s">
        <v>1324</v>
      </c>
    </row>
    <row r="234" spans="1:25" s="147" customFormat="1" ht="22.5" customHeight="1" thickTop="1" thickBot="1">
      <c r="A234" s="355" t="s">
        <v>1322</v>
      </c>
      <c r="B234" s="356" t="s">
        <v>1339</v>
      </c>
      <c r="C234" s="356" t="s">
        <v>1363</v>
      </c>
      <c r="D234" s="356" t="s">
        <v>1363</v>
      </c>
      <c r="E234" s="356"/>
      <c r="F234" s="356"/>
      <c r="G234" s="356"/>
      <c r="H234" s="357"/>
      <c r="I234" s="357"/>
      <c r="J234" s="358" t="s">
        <v>1536</v>
      </c>
      <c r="K234" s="376"/>
      <c r="L234" s="376"/>
      <c r="M234" s="376"/>
      <c r="N234" s="376"/>
      <c r="O234" s="376"/>
      <c r="P234" s="376"/>
      <c r="Q234" s="376"/>
      <c r="R234" s="376"/>
      <c r="S234" s="376"/>
      <c r="T234" s="376"/>
      <c r="U234" s="360"/>
      <c r="V234" s="356"/>
      <c r="W234" s="355" t="s">
        <v>1537</v>
      </c>
      <c r="X234" s="355" t="s">
        <v>1538</v>
      </c>
      <c r="Y234" s="342" t="s">
        <v>1324</v>
      </c>
    </row>
    <row r="235" spans="1:25" s="147" customFormat="1" ht="22.5" customHeight="1" thickTop="1" thickBot="1">
      <c r="A235" s="349" t="s">
        <v>1322</v>
      </c>
      <c r="B235" s="350" t="s">
        <v>1339</v>
      </c>
      <c r="C235" s="350" t="s">
        <v>1367</v>
      </c>
      <c r="D235" s="350"/>
      <c r="E235" s="350"/>
      <c r="F235" s="350"/>
      <c r="G235" s="350"/>
      <c r="H235" s="351"/>
      <c r="I235" s="351"/>
      <c r="J235" s="352" t="s">
        <v>1539</v>
      </c>
      <c r="K235" s="381"/>
      <c r="L235" s="381"/>
      <c r="M235" s="381"/>
      <c r="N235" s="381"/>
      <c r="O235" s="381"/>
      <c r="P235" s="381"/>
      <c r="Q235" s="381"/>
      <c r="R235" s="381"/>
      <c r="S235" s="381"/>
      <c r="T235" s="381"/>
      <c r="U235" s="354"/>
      <c r="V235" s="350"/>
      <c r="W235" s="350" t="s">
        <v>1540</v>
      </c>
      <c r="X235" s="350"/>
      <c r="Y235" s="342" t="s">
        <v>1324</v>
      </c>
    </row>
    <row r="236" spans="1:25" s="147" customFormat="1" ht="22.5" customHeight="1" thickTop="1" thickBot="1">
      <c r="A236" s="355" t="s">
        <v>1322</v>
      </c>
      <c r="B236" s="356" t="s">
        <v>1339</v>
      </c>
      <c r="C236" s="356" t="s">
        <v>1367</v>
      </c>
      <c r="D236" s="356" t="s">
        <v>1326</v>
      </c>
      <c r="E236" s="356"/>
      <c r="F236" s="356"/>
      <c r="G236" s="356"/>
      <c r="H236" s="357"/>
      <c r="I236" s="357"/>
      <c r="J236" s="358" t="s">
        <v>1541</v>
      </c>
      <c r="K236" s="376"/>
      <c r="L236" s="376"/>
      <c r="M236" s="376"/>
      <c r="N236" s="376"/>
      <c r="O236" s="376"/>
      <c r="P236" s="376"/>
      <c r="Q236" s="376"/>
      <c r="R236" s="376"/>
      <c r="S236" s="376"/>
      <c r="T236" s="376"/>
      <c r="U236" s="360"/>
      <c r="V236" s="356"/>
      <c r="W236" s="355" t="s">
        <v>1542</v>
      </c>
      <c r="X236" s="355" t="s">
        <v>1543</v>
      </c>
      <c r="Y236" s="342" t="s">
        <v>1324</v>
      </c>
    </row>
    <row r="237" spans="1:25" s="147" customFormat="1" ht="22.5" customHeight="1" thickTop="1" thickBot="1">
      <c r="A237" s="366" t="s">
        <v>1322</v>
      </c>
      <c r="B237" s="361" t="s">
        <v>1339</v>
      </c>
      <c r="C237" s="361" t="s">
        <v>1367</v>
      </c>
      <c r="D237" s="361" t="s">
        <v>1326</v>
      </c>
      <c r="E237" s="361" t="s">
        <v>1326</v>
      </c>
      <c r="F237" s="361"/>
      <c r="G237" s="361"/>
      <c r="H237" s="362"/>
      <c r="I237" s="362"/>
      <c r="J237" s="363" t="s">
        <v>1544</v>
      </c>
      <c r="K237" s="379"/>
      <c r="L237" s="379"/>
      <c r="M237" s="379"/>
      <c r="N237" s="379"/>
      <c r="O237" s="379"/>
      <c r="P237" s="379"/>
      <c r="Q237" s="379"/>
      <c r="R237" s="379"/>
      <c r="S237" s="379"/>
      <c r="T237" s="379"/>
      <c r="U237" s="365"/>
      <c r="V237" s="366"/>
      <c r="W237" s="366" t="s">
        <v>1545</v>
      </c>
      <c r="X237" s="366" t="s">
        <v>1531</v>
      </c>
      <c r="Y237" s="342" t="s">
        <v>1324</v>
      </c>
    </row>
    <row r="238" spans="1:25" ht="22.5" customHeight="1" thickTop="1" thickBot="1">
      <c r="A238" s="370" t="s">
        <v>1322</v>
      </c>
      <c r="B238" s="362" t="s">
        <v>1339</v>
      </c>
      <c r="C238" s="362" t="s">
        <v>1367</v>
      </c>
      <c r="D238" s="362" t="s">
        <v>1326</v>
      </c>
      <c r="E238" s="362" t="s">
        <v>1326</v>
      </c>
      <c r="F238" s="361" t="s">
        <v>1326</v>
      </c>
      <c r="G238" s="362"/>
      <c r="H238" s="362"/>
      <c r="I238" s="362"/>
      <c r="J238" s="367" t="s">
        <v>1546</v>
      </c>
      <c r="K238" s="380"/>
      <c r="L238" s="380"/>
      <c r="M238" s="380"/>
      <c r="N238" s="380"/>
      <c r="O238" s="380"/>
      <c r="P238" s="380"/>
      <c r="Q238" s="380"/>
      <c r="R238" s="380"/>
      <c r="S238" s="380"/>
      <c r="T238" s="380"/>
      <c r="U238" s="369"/>
      <c r="V238" s="362"/>
      <c r="W238" s="370" t="s">
        <v>1547</v>
      </c>
      <c r="X238" s="370"/>
      <c r="Y238" s="342" t="s">
        <v>1324</v>
      </c>
    </row>
    <row r="239" spans="1:25" ht="22.5" customHeight="1" thickTop="1" thickBot="1">
      <c r="A239" s="370" t="s">
        <v>1322</v>
      </c>
      <c r="B239" s="362" t="s">
        <v>1339</v>
      </c>
      <c r="C239" s="362" t="s">
        <v>1367</v>
      </c>
      <c r="D239" s="362" t="s">
        <v>1326</v>
      </c>
      <c r="E239" s="362" t="s">
        <v>1326</v>
      </c>
      <c r="F239" s="361" t="s">
        <v>1339</v>
      </c>
      <c r="G239" s="362"/>
      <c r="H239" s="362"/>
      <c r="I239" s="362"/>
      <c r="J239" s="367" t="s">
        <v>1548</v>
      </c>
      <c r="K239" s="380"/>
      <c r="L239" s="380"/>
      <c r="M239" s="380"/>
      <c r="N239" s="380"/>
      <c r="O239" s="380"/>
      <c r="P239" s="380"/>
      <c r="Q239" s="380"/>
      <c r="R239" s="380"/>
      <c r="S239" s="380"/>
      <c r="T239" s="380"/>
      <c r="U239" s="369"/>
      <c r="V239" s="370"/>
      <c r="W239" s="370" t="s">
        <v>1549</v>
      </c>
      <c r="X239" s="370"/>
      <c r="Y239" s="342" t="s">
        <v>1324</v>
      </c>
    </row>
    <row r="240" spans="1:25" s="147" customFormat="1" ht="22.5" customHeight="1" thickTop="1" thickBot="1">
      <c r="A240" s="366" t="s">
        <v>1322</v>
      </c>
      <c r="B240" s="361" t="s">
        <v>1339</v>
      </c>
      <c r="C240" s="361" t="s">
        <v>1367</v>
      </c>
      <c r="D240" s="361" t="s">
        <v>1326</v>
      </c>
      <c r="E240" s="361" t="s">
        <v>1339</v>
      </c>
      <c r="F240" s="361"/>
      <c r="G240" s="361"/>
      <c r="H240" s="362"/>
      <c r="I240" s="362"/>
      <c r="J240" s="363" t="s">
        <v>1550</v>
      </c>
      <c r="K240" s="379"/>
      <c r="L240" s="379"/>
      <c r="M240" s="379"/>
      <c r="N240" s="379"/>
      <c r="O240" s="379"/>
      <c r="P240" s="379"/>
      <c r="Q240" s="379"/>
      <c r="R240" s="379"/>
      <c r="S240" s="379"/>
      <c r="T240" s="379"/>
      <c r="U240" s="365"/>
      <c r="V240" s="366"/>
      <c r="W240" s="366" t="s">
        <v>1551</v>
      </c>
      <c r="X240" s="366"/>
      <c r="Y240" s="342" t="s">
        <v>1324</v>
      </c>
    </row>
    <row r="241" spans="1:25" ht="22.5" customHeight="1" thickTop="1" thickBot="1">
      <c r="A241" s="370" t="s">
        <v>1322</v>
      </c>
      <c r="B241" s="362" t="s">
        <v>1339</v>
      </c>
      <c r="C241" s="362" t="s">
        <v>1367</v>
      </c>
      <c r="D241" s="362" t="s">
        <v>1326</v>
      </c>
      <c r="E241" s="362" t="s">
        <v>1339</v>
      </c>
      <c r="F241" s="361" t="s">
        <v>1326</v>
      </c>
      <c r="G241" s="362"/>
      <c r="H241" s="362"/>
      <c r="I241" s="362"/>
      <c r="J241" s="367" t="s">
        <v>1552</v>
      </c>
      <c r="K241" s="380"/>
      <c r="L241" s="380"/>
      <c r="M241" s="380"/>
      <c r="N241" s="380"/>
      <c r="O241" s="380"/>
      <c r="P241" s="380"/>
      <c r="Q241" s="380"/>
      <c r="R241" s="380"/>
      <c r="S241" s="380"/>
      <c r="T241" s="380"/>
      <c r="U241" s="369"/>
      <c r="V241" s="370"/>
      <c r="W241" s="370" t="s">
        <v>1553</v>
      </c>
      <c r="X241" s="370"/>
      <c r="Y241" s="342" t="s">
        <v>1324</v>
      </c>
    </row>
    <row r="242" spans="1:25" ht="22.5" customHeight="1" thickTop="1" thickBot="1">
      <c r="A242" s="370" t="s">
        <v>1322</v>
      </c>
      <c r="B242" s="362" t="s">
        <v>1339</v>
      </c>
      <c r="C242" s="362" t="s">
        <v>1367</v>
      </c>
      <c r="D242" s="362" t="s">
        <v>1326</v>
      </c>
      <c r="E242" s="362" t="s">
        <v>1339</v>
      </c>
      <c r="F242" s="361" t="s">
        <v>1339</v>
      </c>
      <c r="G242" s="362"/>
      <c r="H242" s="362"/>
      <c r="I242" s="362"/>
      <c r="J242" s="367" t="s">
        <v>1554</v>
      </c>
      <c r="K242" s="380"/>
      <c r="L242" s="380"/>
      <c r="M242" s="380"/>
      <c r="N242" s="380"/>
      <c r="O242" s="380"/>
      <c r="P242" s="380"/>
      <c r="Q242" s="380"/>
      <c r="R242" s="380"/>
      <c r="S242" s="380"/>
      <c r="T242" s="380"/>
      <c r="U242" s="369"/>
      <c r="V242" s="370"/>
      <c r="W242" s="370" t="s">
        <v>1555</v>
      </c>
      <c r="X242" s="370"/>
      <c r="Y242" s="342" t="s">
        <v>1324</v>
      </c>
    </row>
    <row r="243" spans="1:25" ht="22.5" customHeight="1" thickTop="1" thickBot="1">
      <c r="A243" s="370" t="s">
        <v>1322</v>
      </c>
      <c r="B243" s="362" t="s">
        <v>1339</v>
      </c>
      <c r="C243" s="362" t="s">
        <v>1367</v>
      </c>
      <c r="D243" s="362" t="s">
        <v>1326</v>
      </c>
      <c r="E243" s="362" t="s">
        <v>1339</v>
      </c>
      <c r="F243" s="361" t="s">
        <v>1363</v>
      </c>
      <c r="G243" s="362"/>
      <c r="H243" s="362"/>
      <c r="I243" s="362"/>
      <c r="J243" s="367" t="s">
        <v>1556</v>
      </c>
      <c r="K243" s="380"/>
      <c r="L243" s="380"/>
      <c r="M243" s="380"/>
      <c r="N243" s="380"/>
      <c r="O243" s="380"/>
      <c r="P243" s="380"/>
      <c r="Q243" s="380"/>
      <c r="R243" s="380"/>
      <c r="S243" s="380"/>
      <c r="T243" s="380"/>
      <c r="U243" s="369"/>
      <c r="V243" s="370"/>
      <c r="W243" s="370" t="s">
        <v>1557</v>
      </c>
      <c r="X243" s="370"/>
      <c r="Y243" s="342" t="s">
        <v>1324</v>
      </c>
    </row>
    <row r="244" spans="1:25" ht="22.5" customHeight="1" thickTop="1" thickBot="1">
      <c r="A244" s="370" t="s">
        <v>1322</v>
      </c>
      <c r="B244" s="362" t="s">
        <v>1339</v>
      </c>
      <c r="C244" s="362" t="s">
        <v>1367</v>
      </c>
      <c r="D244" s="362" t="s">
        <v>1326</v>
      </c>
      <c r="E244" s="362" t="s">
        <v>1339</v>
      </c>
      <c r="F244" s="361" t="s">
        <v>1367</v>
      </c>
      <c r="G244" s="362"/>
      <c r="H244" s="362"/>
      <c r="I244" s="362"/>
      <c r="J244" s="367" t="s">
        <v>1558</v>
      </c>
      <c r="K244" s="380"/>
      <c r="L244" s="380"/>
      <c r="M244" s="380"/>
      <c r="N244" s="380"/>
      <c r="O244" s="380"/>
      <c r="P244" s="380"/>
      <c r="Q244" s="380"/>
      <c r="R244" s="380"/>
      <c r="S244" s="380"/>
      <c r="T244" s="380"/>
      <c r="U244" s="369"/>
      <c r="V244" s="370"/>
      <c r="W244" s="370" t="s">
        <v>1559</v>
      </c>
      <c r="X244" s="370"/>
      <c r="Y244" s="342" t="s">
        <v>1324</v>
      </c>
    </row>
    <row r="245" spans="1:25" ht="22.5" customHeight="1" thickTop="1" thickBot="1">
      <c r="A245" s="370" t="s">
        <v>1322</v>
      </c>
      <c r="B245" s="362" t="s">
        <v>1339</v>
      </c>
      <c r="C245" s="362" t="s">
        <v>1367</v>
      </c>
      <c r="D245" s="362" t="s">
        <v>1326</v>
      </c>
      <c r="E245" s="362" t="s">
        <v>1339</v>
      </c>
      <c r="F245" s="361" t="s">
        <v>1392</v>
      </c>
      <c r="G245" s="362"/>
      <c r="H245" s="362"/>
      <c r="I245" s="362"/>
      <c r="J245" s="367" t="s">
        <v>1560</v>
      </c>
      <c r="K245" s="380"/>
      <c r="L245" s="380"/>
      <c r="M245" s="380"/>
      <c r="N245" s="380"/>
      <c r="O245" s="380"/>
      <c r="P245" s="380"/>
      <c r="Q245" s="380"/>
      <c r="R245" s="380"/>
      <c r="S245" s="380"/>
      <c r="T245" s="380"/>
      <c r="U245" s="369"/>
      <c r="V245" s="370"/>
      <c r="W245" s="370" t="s">
        <v>1561</v>
      </c>
      <c r="X245" s="370" t="s">
        <v>1562</v>
      </c>
      <c r="Y245" s="342" t="s">
        <v>1324</v>
      </c>
    </row>
    <row r="246" spans="1:25" s="147" customFormat="1" ht="22.5" customHeight="1" thickTop="1" thickBot="1">
      <c r="A246" s="366" t="s">
        <v>1322</v>
      </c>
      <c r="B246" s="361" t="s">
        <v>1339</v>
      </c>
      <c r="C246" s="361" t="s">
        <v>1367</v>
      </c>
      <c r="D246" s="361" t="s">
        <v>1326</v>
      </c>
      <c r="E246" s="361" t="s">
        <v>1363</v>
      </c>
      <c r="F246" s="361"/>
      <c r="G246" s="361"/>
      <c r="H246" s="362"/>
      <c r="I246" s="362"/>
      <c r="J246" s="363" t="s">
        <v>1563</v>
      </c>
      <c r="K246" s="379"/>
      <c r="L246" s="379"/>
      <c r="M246" s="379"/>
      <c r="N246" s="379"/>
      <c r="O246" s="379"/>
      <c r="P246" s="379"/>
      <c r="Q246" s="379"/>
      <c r="R246" s="379"/>
      <c r="S246" s="379"/>
      <c r="T246" s="379"/>
      <c r="U246" s="365"/>
      <c r="V246" s="366"/>
      <c r="W246" s="366" t="s">
        <v>1564</v>
      </c>
      <c r="X246" s="366"/>
      <c r="Y246" s="342" t="s">
        <v>1324</v>
      </c>
    </row>
    <row r="247" spans="1:25" s="147" customFormat="1" ht="22.5" customHeight="1" thickTop="1" thickBot="1">
      <c r="A247" s="355" t="s">
        <v>1322</v>
      </c>
      <c r="B247" s="356" t="s">
        <v>1339</v>
      </c>
      <c r="C247" s="356" t="s">
        <v>1367</v>
      </c>
      <c r="D247" s="356" t="s">
        <v>1339</v>
      </c>
      <c r="E247" s="356"/>
      <c r="F247" s="356"/>
      <c r="G247" s="356"/>
      <c r="H247" s="357"/>
      <c r="I247" s="357"/>
      <c r="J247" s="358" t="s">
        <v>1565</v>
      </c>
      <c r="K247" s="376"/>
      <c r="L247" s="376"/>
      <c r="M247" s="376"/>
      <c r="N247" s="376"/>
      <c r="O247" s="376"/>
      <c r="P247" s="376"/>
      <c r="Q247" s="376"/>
      <c r="R247" s="376"/>
      <c r="S247" s="376"/>
      <c r="T247" s="376"/>
      <c r="U247" s="360"/>
      <c r="V247" s="356"/>
      <c r="W247" s="355" t="s">
        <v>1566</v>
      </c>
      <c r="X247" s="355" t="s">
        <v>1567</v>
      </c>
      <c r="Y247" s="342" t="s">
        <v>1324</v>
      </c>
    </row>
    <row r="248" spans="1:25" s="147" customFormat="1" ht="22.5" customHeight="1" thickTop="1" thickBot="1">
      <c r="A248" s="366" t="s">
        <v>1322</v>
      </c>
      <c r="B248" s="361" t="s">
        <v>1339</v>
      </c>
      <c r="C248" s="361" t="s">
        <v>1367</v>
      </c>
      <c r="D248" s="361" t="s">
        <v>1339</v>
      </c>
      <c r="E248" s="361" t="s">
        <v>1326</v>
      </c>
      <c r="F248" s="361"/>
      <c r="G248" s="361"/>
      <c r="H248" s="362"/>
      <c r="I248" s="362"/>
      <c r="J248" s="363" t="s">
        <v>1568</v>
      </c>
      <c r="K248" s="382"/>
      <c r="L248" s="382"/>
      <c r="M248" s="382"/>
      <c r="N248" s="382"/>
      <c r="O248" s="382"/>
      <c r="P248" s="382"/>
      <c r="Q248" s="382"/>
      <c r="R248" s="382"/>
      <c r="S248" s="382"/>
      <c r="T248" s="382"/>
      <c r="U248" s="383"/>
      <c r="V248" s="361"/>
      <c r="W248" s="366" t="s">
        <v>1569</v>
      </c>
      <c r="X248" s="366"/>
      <c r="Y248" s="342" t="s">
        <v>1324</v>
      </c>
    </row>
    <row r="249" spans="1:25" ht="22.5" customHeight="1" thickTop="1" thickBot="1">
      <c r="A249" s="370" t="s">
        <v>1322</v>
      </c>
      <c r="B249" s="362" t="s">
        <v>1339</v>
      </c>
      <c r="C249" s="362" t="s">
        <v>1367</v>
      </c>
      <c r="D249" s="362" t="s">
        <v>1339</v>
      </c>
      <c r="E249" s="362" t="s">
        <v>1326</v>
      </c>
      <c r="F249" s="361" t="s">
        <v>1326</v>
      </c>
      <c r="G249" s="362"/>
      <c r="H249" s="362"/>
      <c r="I249" s="362"/>
      <c r="J249" s="367" t="s">
        <v>1570</v>
      </c>
      <c r="K249" s="384"/>
      <c r="L249" s="384"/>
      <c r="M249" s="384"/>
      <c r="N249" s="384"/>
      <c r="O249" s="384"/>
      <c r="P249" s="384"/>
      <c r="Q249" s="384"/>
      <c r="R249" s="384"/>
      <c r="S249" s="384"/>
      <c r="T249" s="384"/>
      <c r="U249" s="385"/>
      <c r="V249" s="362"/>
      <c r="W249" s="370" t="s">
        <v>1571</v>
      </c>
      <c r="X249" s="370"/>
      <c r="Y249" s="342" t="s">
        <v>1324</v>
      </c>
    </row>
    <row r="250" spans="1:25" ht="22.5" customHeight="1" thickTop="1" thickBot="1">
      <c r="A250" s="370" t="s">
        <v>1322</v>
      </c>
      <c r="B250" s="362" t="s">
        <v>1339</v>
      </c>
      <c r="C250" s="362" t="s">
        <v>1367</v>
      </c>
      <c r="D250" s="362" t="s">
        <v>1339</v>
      </c>
      <c r="E250" s="362" t="s">
        <v>1326</v>
      </c>
      <c r="F250" s="361" t="s">
        <v>1339</v>
      </c>
      <c r="G250" s="362"/>
      <c r="H250" s="362"/>
      <c r="I250" s="362"/>
      <c r="J250" s="367" t="s">
        <v>1572</v>
      </c>
      <c r="K250" s="384"/>
      <c r="L250" s="384"/>
      <c r="M250" s="384"/>
      <c r="N250" s="384"/>
      <c r="O250" s="384"/>
      <c r="P250" s="384"/>
      <c r="Q250" s="384"/>
      <c r="R250" s="384"/>
      <c r="S250" s="384"/>
      <c r="T250" s="384"/>
      <c r="U250" s="385"/>
      <c r="V250" s="362"/>
      <c r="W250" s="370" t="s">
        <v>1573</v>
      </c>
      <c r="X250" s="370"/>
      <c r="Y250" s="342" t="s">
        <v>1324</v>
      </c>
    </row>
    <row r="251" spans="1:25" s="147" customFormat="1" ht="22.5" customHeight="1" thickTop="1" thickBot="1">
      <c r="A251" s="366" t="s">
        <v>1322</v>
      </c>
      <c r="B251" s="361" t="s">
        <v>1339</v>
      </c>
      <c r="C251" s="361" t="s">
        <v>1367</v>
      </c>
      <c r="D251" s="361" t="s">
        <v>1339</v>
      </c>
      <c r="E251" s="361" t="s">
        <v>1339</v>
      </c>
      <c r="F251" s="361"/>
      <c r="G251" s="361"/>
      <c r="H251" s="362"/>
      <c r="I251" s="362"/>
      <c r="J251" s="363" t="s">
        <v>1574</v>
      </c>
      <c r="K251" s="382"/>
      <c r="L251" s="382"/>
      <c r="M251" s="382"/>
      <c r="N251" s="382"/>
      <c r="O251" s="382"/>
      <c r="P251" s="382"/>
      <c r="Q251" s="382"/>
      <c r="R251" s="382"/>
      <c r="S251" s="382"/>
      <c r="T251" s="382"/>
      <c r="U251" s="383"/>
      <c r="V251" s="361"/>
      <c r="W251" s="366" t="s">
        <v>1575</v>
      </c>
      <c r="X251" s="366"/>
      <c r="Y251" s="342" t="s">
        <v>1324</v>
      </c>
    </row>
    <row r="252" spans="1:25" s="147" customFormat="1" ht="22.5" customHeight="1" thickTop="1" thickBot="1">
      <c r="A252" s="366" t="s">
        <v>1322</v>
      </c>
      <c r="B252" s="361" t="s">
        <v>1339</v>
      </c>
      <c r="C252" s="361" t="s">
        <v>1367</v>
      </c>
      <c r="D252" s="361" t="s">
        <v>1339</v>
      </c>
      <c r="E252" s="361" t="s">
        <v>1363</v>
      </c>
      <c r="F252" s="361"/>
      <c r="G252" s="361"/>
      <c r="H252" s="362"/>
      <c r="I252" s="362"/>
      <c r="J252" s="363" t="s">
        <v>1576</v>
      </c>
      <c r="K252" s="382"/>
      <c r="L252" s="382"/>
      <c r="M252" s="382"/>
      <c r="N252" s="382"/>
      <c r="O252" s="382"/>
      <c r="P252" s="382"/>
      <c r="Q252" s="382"/>
      <c r="R252" s="382"/>
      <c r="S252" s="382"/>
      <c r="T252" s="382"/>
      <c r="U252" s="383"/>
      <c r="V252" s="361"/>
      <c r="W252" s="366" t="s">
        <v>1577</v>
      </c>
      <c r="X252" s="366"/>
      <c r="Y252" s="342" t="s">
        <v>1324</v>
      </c>
    </row>
    <row r="253" spans="1:25" s="147" customFormat="1" ht="22.5" customHeight="1" thickTop="1" thickBot="1">
      <c r="A253" s="355" t="s">
        <v>1322</v>
      </c>
      <c r="B253" s="356" t="s">
        <v>1339</v>
      </c>
      <c r="C253" s="356" t="s">
        <v>1367</v>
      </c>
      <c r="D253" s="356" t="s">
        <v>1363</v>
      </c>
      <c r="E253" s="356"/>
      <c r="F253" s="356"/>
      <c r="G253" s="356"/>
      <c r="H253" s="357"/>
      <c r="I253" s="357"/>
      <c r="J253" s="358" t="s">
        <v>1536</v>
      </c>
      <c r="K253" s="386"/>
      <c r="L253" s="386"/>
      <c r="M253" s="386"/>
      <c r="N253" s="386"/>
      <c r="O253" s="386"/>
      <c r="P253" s="386"/>
      <c r="Q253" s="386"/>
      <c r="R253" s="386"/>
      <c r="S253" s="386"/>
      <c r="T253" s="386"/>
      <c r="U253" s="387"/>
      <c r="V253" s="356"/>
      <c r="W253" s="355" t="s">
        <v>1578</v>
      </c>
      <c r="X253" s="355" t="s">
        <v>1538</v>
      </c>
      <c r="Y253" s="342" t="s">
        <v>1324</v>
      </c>
    </row>
    <row r="254" spans="1:25" s="147" customFormat="1" ht="22.5" customHeight="1" thickTop="1" thickBot="1">
      <c r="A254" s="349" t="s">
        <v>1322</v>
      </c>
      <c r="B254" s="350" t="s">
        <v>1339</v>
      </c>
      <c r="C254" s="350" t="s">
        <v>1392</v>
      </c>
      <c r="D254" s="350"/>
      <c r="E254" s="350"/>
      <c r="F254" s="350"/>
      <c r="G254" s="350"/>
      <c r="H254" s="351"/>
      <c r="I254" s="351"/>
      <c r="J254" s="388" t="s">
        <v>1579</v>
      </c>
      <c r="K254" s="389"/>
      <c r="L254" s="389"/>
      <c r="M254" s="389"/>
      <c r="N254" s="389"/>
      <c r="O254" s="389"/>
      <c r="P254" s="389"/>
      <c r="Q254" s="389"/>
      <c r="R254" s="389"/>
      <c r="S254" s="389"/>
      <c r="T254" s="389"/>
      <c r="U254" s="390"/>
      <c r="V254" s="350"/>
      <c r="W254" s="350" t="s">
        <v>1580</v>
      </c>
      <c r="X254" s="350"/>
      <c r="Y254" s="342" t="s">
        <v>1324</v>
      </c>
    </row>
    <row r="255" spans="1:25" s="147" customFormat="1" ht="22.5" customHeight="1" thickTop="1" thickBot="1">
      <c r="A255" s="355" t="s">
        <v>1322</v>
      </c>
      <c r="B255" s="356" t="s">
        <v>1339</v>
      </c>
      <c r="C255" s="356" t="s">
        <v>1392</v>
      </c>
      <c r="D255" s="356" t="s">
        <v>1326</v>
      </c>
      <c r="E255" s="356"/>
      <c r="F255" s="356"/>
      <c r="G255" s="356"/>
      <c r="H255" s="357"/>
      <c r="I255" s="357"/>
      <c r="J255" s="358" t="s">
        <v>1247</v>
      </c>
      <c r="K255" s="386"/>
      <c r="L255" s="386"/>
      <c r="M255" s="386"/>
      <c r="N255" s="386"/>
      <c r="O255" s="386"/>
      <c r="P255" s="386"/>
      <c r="Q255" s="386"/>
      <c r="R255" s="386"/>
      <c r="S255" s="386"/>
      <c r="T255" s="386"/>
      <c r="U255" s="387"/>
      <c r="V255" s="356"/>
      <c r="W255" s="355"/>
      <c r="X255" s="355"/>
      <c r="Y255" s="342"/>
    </row>
    <row r="256" spans="1:25" ht="22.5" customHeight="1" thickTop="1" thickBot="1">
      <c r="A256" s="370" t="s">
        <v>1322</v>
      </c>
      <c r="B256" s="362" t="s">
        <v>1339</v>
      </c>
      <c r="C256" s="362" t="s">
        <v>1392</v>
      </c>
      <c r="D256" s="362" t="s">
        <v>1326</v>
      </c>
      <c r="E256" s="361" t="s">
        <v>1326</v>
      </c>
      <c r="F256" s="362"/>
      <c r="G256" s="362"/>
      <c r="H256" s="362"/>
      <c r="I256" s="362"/>
      <c r="J256" s="367" t="s">
        <v>1581</v>
      </c>
      <c r="K256" s="391"/>
      <c r="L256" s="391"/>
      <c r="M256" s="391"/>
      <c r="N256" s="391"/>
      <c r="O256" s="391"/>
      <c r="P256" s="391"/>
      <c r="Q256" s="391"/>
      <c r="R256" s="391"/>
      <c r="S256" s="391"/>
      <c r="T256" s="391"/>
      <c r="U256" s="392"/>
      <c r="V256" s="362"/>
      <c r="W256" s="370"/>
      <c r="X256" s="370"/>
      <c r="Y256" s="375"/>
    </row>
    <row r="257" spans="1:25" ht="22.5" customHeight="1" thickTop="1" thickBot="1">
      <c r="A257" s="370" t="s">
        <v>1322</v>
      </c>
      <c r="B257" s="362" t="s">
        <v>1339</v>
      </c>
      <c r="C257" s="362" t="s">
        <v>1392</v>
      </c>
      <c r="D257" s="362" t="s">
        <v>1326</v>
      </c>
      <c r="E257" s="361" t="s">
        <v>1339</v>
      </c>
      <c r="F257" s="362"/>
      <c r="G257" s="362"/>
      <c r="H257" s="362"/>
      <c r="I257" s="362"/>
      <c r="J257" s="367" t="s">
        <v>1582</v>
      </c>
      <c r="K257" s="391"/>
      <c r="L257" s="391"/>
      <c r="M257" s="391"/>
      <c r="N257" s="391"/>
      <c r="O257" s="391"/>
      <c r="P257" s="391"/>
      <c r="Q257" s="391"/>
      <c r="R257" s="391"/>
      <c r="S257" s="391"/>
      <c r="T257" s="391"/>
      <c r="U257" s="392"/>
      <c r="V257" s="362"/>
      <c r="W257" s="370"/>
      <c r="X257" s="370"/>
      <c r="Y257" s="375"/>
    </row>
    <row r="258" spans="1:25" ht="22.5" customHeight="1" thickTop="1" thickBot="1">
      <c r="A258" s="370" t="s">
        <v>1322</v>
      </c>
      <c r="B258" s="362" t="s">
        <v>1339</v>
      </c>
      <c r="C258" s="362" t="s">
        <v>1392</v>
      </c>
      <c r="D258" s="362" t="s">
        <v>1326</v>
      </c>
      <c r="E258" s="361" t="s">
        <v>1363</v>
      </c>
      <c r="F258" s="362"/>
      <c r="G258" s="362"/>
      <c r="H258" s="362"/>
      <c r="I258" s="362"/>
      <c r="J258" s="367" t="s">
        <v>1583</v>
      </c>
      <c r="K258" s="391"/>
      <c r="L258" s="391"/>
      <c r="M258" s="391"/>
      <c r="N258" s="391"/>
      <c r="O258" s="391"/>
      <c r="P258" s="391"/>
      <c r="Q258" s="391"/>
      <c r="R258" s="391"/>
      <c r="S258" s="391"/>
      <c r="T258" s="391"/>
      <c r="U258" s="392"/>
      <c r="V258" s="362"/>
      <c r="W258" s="370"/>
      <c r="X258" s="370"/>
      <c r="Y258" s="375"/>
    </row>
    <row r="259" spans="1:25" s="147" customFormat="1" ht="22.5" customHeight="1" thickTop="1" thickBot="1">
      <c r="A259" s="355" t="s">
        <v>1322</v>
      </c>
      <c r="B259" s="356" t="s">
        <v>1339</v>
      </c>
      <c r="C259" s="356" t="s">
        <v>1392</v>
      </c>
      <c r="D259" s="356" t="s">
        <v>1339</v>
      </c>
      <c r="E259" s="356"/>
      <c r="F259" s="356"/>
      <c r="G259" s="356"/>
      <c r="H259" s="357"/>
      <c r="I259" s="357"/>
      <c r="J259" s="358" t="s">
        <v>1470</v>
      </c>
      <c r="K259" s="386"/>
      <c r="L259" s="386"/>
      <c r="M259" s="386"/>
      <c r="N259" s="386"/>
      <c r="O259" s="386"/>
      <c r="P259" s="386"/>
      <c r="Q259" s="386"/>
      <c r="R259" s="386"/>
      <c r="S259" s="386"/>
      <c r="T259" s="386"/>
      <c r="U259" s="387"/>
      <c r="V259" s="356"/>
      <c r="W259" s="355"/>
      <c r="X259" s="355"/>
      <c r="Y259" s="342" t="s">
        <v>1324</v>
      </c>
    </row>
    <row r="260" spans="1:25" s="147" customFormat="1" ht="22.5" customHeight="1" thickTop="1" thickBot="1">
      <c r="A260" s="366" t="s">
        <v>1322</v>
      </c>
      <c r="B260" s="361" t="s">
        <v>1339</v>
      </c>
      <c r="C260" s="361" t="s">
        <v>1392</v>
      </c>
      <c r="D260" s="361" t="s">
        <v>1339</v>
      </c>
      <c r="E260" s="361" t="s">
        <v>1326</v>
      </c>
      <c r="F260" s="361"/>
      <c r="G260" s="361"/>
      <c r="H260" s="362"/>
      <c r="I260" s="362"/>
      <c r="J260" s="363" t="s">
        <v>1584</v>
      </c>
      <c r="K260" s="382"/>
      <c r="L260" s="382"/>
      <c r="M260" s="382"/>
      <c r="N260" s="382"/>
      <c r="O260" s="382"/>
      <c r="P260" s="382"/>
      <c r="Q260" s="382"/>
      <c r="R260" s="382"/>
      <c r="S260" s="382"/>
      <c r="T260" s="382"/>
      <c r="U260" s="383"/>
      <c r="V260" s="361"/>
      <c r="W260" s="366"/>
      <c r="X260" s="366"/>
      <c r="Y260" s="342" t="s">
        <v>1324</v>
      </c>
    </row>
    <row r="261" spans="1:25" s="147" customFormat="1" ht="22.5" customHeight="1" thickTop="1" thickBot="1">
      <c r="A261" s="355" t="s">
        <v>1322</v>
      </c>
      <c r="B261" s="356" t="s">
        <v>1339</v>
      </c>
      <c r="C261" s="356" t="s">
        <v>1392</v>
      </c>
      <c r="D261" s="356" t="s">
        <v>1363</v>
      </c>
      <c r="E261" s="356"/>
      <c r="F261" s="356"/>
      <c r="G261" s="356"/>
      <c r="H261" s="357"/>
      <c r="I261" s="357"/>
      <c r="J261" s="358" t="s">
        <v>1585</v>
      </c>
      <c r="K261" s="386"/>
      <c r="L261" s="386"/>
      <c r="M261" s="386"/>
      <c r="N261" s="386"/>
      <c r="O261" s="386"/>
      <c r="P261" s="386"/>
      <c r="Q261" s="386"/>
      <c r="R261" s="386"/>
      <c r="S261" s="386"/>
      <c r="T261" s="386"/>
      <c r="U261" s="387"/>
      <c r="V261" s="356"/>
      <c r="W261" s="355"/>
      <c r="X261" s="355"/>
      <c r="Y261" s="342" t="s">
        <v>1324</v>
      </c>
    </row>
    <row r="262" spans="1:25" s="147" customFormat="1" ht="22.5" customHeight="1" thickTop="1" thickBot="1">
      <c r="A262" s="355" t="s">
        <v>1322</v>
      </c>
      <c r="B262" s="356" t="s">
        <v>1339</v>
      </c>
      <c r="C262" s="356" t="s">
        <v>1392</v>
      </c>
      <c r="D262" s="356" t="s">
        <v>1367</v>
      </c>
      <c r="E262" s="356"/>
      <c r="F262" s="356"/>
      <c r="G262" s="356"/>
      <c r="H262" s="357"/>
      <c r="I262" s="357"/>
      <c r="J262" s="358" t="s">
        <v>1586</v>
      </c>
      <c r="K262" s="386"/>
      <c r="L262" s="386"/>
      <c r="M262" s="386"/>
      <c r="N262" s="386"/>
      <c r="O262" s="386"/>
      <c r="P262" s="386"/>
      <c r="Q262" s="386"/>
      <c r="R262" s="386"/>
      <c r="S262" s="386"/>
      <c r="T262" s="386"/>
      <c r="U262" s="387"/>
      <c r="V262" s="356"/>
      <c r="W262" s="355"/>
      <c r="X262" s="355"/>
      <c r="Y262" s="342" t="s">
        <v>1324</v>
      </c>
    </row>
    <row r="263" spans="1:25" s="147" customFormat="1" ht="22.5" customHeight="1" thickTop="1" thickBot="1">
      <c r="A263" s="355" t="s">
        <v>1322</v>
      </c>
      <c r="B263" s="356" t="s">
        <v>1339</v>
      </c>
      <c r="C263" s="356" t="s">
        <v>1392</v>
      </c>
      <c r="D263" s="356" t="s">
        <v>1392</v>
      </c>
      <c r="E263" s="356"/>
      <c r="F263" s="356"/>
      <c r="G263" s="356"/>
      <c r="H263" s="357"/>
      <c r="I263" s="357"/>
      <c r="J263" s="358" t="s">
        <v>1587</v>
      </c>
      <c r="K263" s="386"/>
      <c r="L263" s="386"/>
      <c r="M263" s="386"/>
      <c r="N263" s="386"/>
      <c r="O263" s="386"/>
      <c r="P263" s="386"/>
      <c r="Q263" s="386"/>
      <c r="R263" s="386"/>
      <c r="S263" s="386"/>
      <c r="T263" s="386"/>
      <c r="U263" s="387"/>
      <c r="V263" s="356"/>
      <c r="W263" s="355"/>
      <c r="X263" s="355"/>
      <c r="Y263" s="342" t="s">
        <v>1324</v>
      </c>
    </row>
    <row r="264" spans="1:25" s="147" customFormat="1" ht="22.5" customHeight="1" thickTop="1" thickBot="1">
      <c r="A264" s="366" t="s">
        <v>1322</v>
      </c>
      <c r="B264" s="361" t="s">
        <v>1339</v>
      </c>
      <c r="C264" s="361" t="s">
        <v>1392</v>
      </c>
      <c r="D264" s="361" t="s">
        <v>1392</v>
      </c>
      <c r="E264" s="361" t="s">
        <v>1326</v>
      </c>
      <c r="F264" s="361"/>
      <c r="G264" s="361"/>
      <c r="H264" s="362"/>
      <c r="I264" s="362"/>
      <c r="J264" s="363" t="s">
        <v>1588</v>
      </c>
      <c r="K264" s="382"/>
      <c r="L264" s="382"/>
      <c r="M264" s="382"/>
      <c r="N264" s="382"/>
      <c r="O264" s="382"/>
      <c r="P264" s="382"/>
      <c r="Q264" s="382"/>
      <c r="R264" s="382"/>
      <c r="S264" s="382"/>
      <c r="T264" s="382"/>
      <c r="U264" s="383"/>
      <c r="V264" s="361"/>
      <c r="W264" s="366"/>
      <c r="X264" s="366"/>
      <c r="Y264" s="342" t="s">
        <v>1324</v>
      </c>
    </row>
    <row r="265" spans="1:25" s="147" customFormat="1" ht="22.5" customHeight="1" thickTop="1" thickBot="1">
      <c r="A265" s="366" t="s">
        <v>1322</v>
      </c>
      <c r="B265" s="361" t="s">
        <v>1339</v>
      </c>
      <c r="C265" s="361" t="s">
        <v>1392</v>
      </c>
      <c r="D265" s="361" t="s">
        <v>1392</v>
      </c>
      <c r="E265" s="361" t="s">
        <v>1339</v>
      </c>
      <c r="F265" s="361"/>
      <c r="G265" s="361"/>
      <c r="H265" s="362"/>
      <c r="I265" s="362"/>
      <c r="J265" s="363" t="s">
        <v>1589</v>
      </c>
      <c r="K265" s="382"/>
      <c r="L265" s="382"/>
      <c r="M265" s="382"/>
      <c r="N265" s="382"/>
      <c r="O265" s="382"/>
      <c r="P265" s="382"/>
      <c r="Q265" s="382"/>
      <c r="R265" s="382"/>
      <c r="S265" s="382"/>
      <c r="T265" s="382"/>
      <c r="U265" s="383"/>
      <c r="V265" s="366"/>
      <c r="W265" s="366"/>
      <c r="X265" s="366"/>
      <c r="Y265" s="342" t="s">
        <v>1324</v>
      </c>
    </row>
    <row r="266" spans="1:25" s="147" customFormat="1" ht="22.5" customHeight="1" thickTop="1" thickBot="1">
      <c r="A266" s="355" t="s">
        <v>1322</v>
      </c>
      <c r="B266" s="356" t="s">
        <v>1339</v>
      </c>
      <c r="C266" s="356" t="s">
        <v>1392</v>
      </c>
      <c r="D266" s="356" t="s">
        <v>1415</v>
      </c>
      <c r="E266" s="356"/>
      <c r="F266" s="356"/>
      <c r="G266" s="356"/>
      <c r="H266" s="357"/>
      <c r="I266" s="357"/>
      <c r="J266" s="358" t="s">
        <v>1590</v>
      </c>
      <c r="K266" s="386"/>
      <c r="L266" s="386"/>
      <c r="M266" s="386"/>
      <c r="N266" s="386"/>
      <c r="O266" s="386"/>
      <c r="P266" s="386"/>
      <c r="Q266" s="386"/>
      <c r="R266" s="386"/>
      <c r="S266" s="386"/>
      <c r="T266" s="386"/>
      <c r="U266" s="387"/>
      <c r="V266" s="356"/>
      <c r="W266" s="355"/>
      <c r="X266" s="355"/>
      <c r="Y266" s="342" t="s">
        <v>1324</v>
      </c>
    </row>
    <row r="267" spans="1:25" s="147" customFormat="1" ht="22.5" customHeight="1" thickTop="1" thickBot="1">
      <c r="A267" s="355" t="s">
        <v>1322</v>
      </c>
      <c r="B267" s="356" t="s">
        <v>1339</v>
      </c>
      <c r="C267" s="356" t="s">
        <v>1392</v>
      </c>
      <c r="D267" s="356" t="s">
        <v>1419</v>
      </c>
      <c r="E267" s="356"/>
      <c r="F267" s="356"/>
      <c r="G267" s="356"/>
      <c r="H267" s="357"/>
      <c r="I267" s="357"/>
      <c r="J267" s="358" t="s">
        <v>1591</v>
      </c>
      <c r="K267" s="386"/>
      <c r="L267" s="386"/>
      <c r="M267" s="386"/>
      <c r="N267" s="386"/>
      <c r="O267" s="386"/>
      <c r="P267" s="386"/>
      <c r="Q267" s="386"/>
      <c r="R267" s="386"/>
      <c r="S267" s="386"/>
      <c r="T267" s="386"/>
      <c r="U267" s="387"/>
      <c r="V267" s="356"/>
      <c r="W267" s="355"/>
      <c r="X267" s="355"/>
      <c r="Y267" s="342" t="s">
        <v>1324</v>
      </c>
    </row>
    <row r="268" spans="1:25" s="147" customFormat="1" ht="22.5" customHeight="1" thickTop="1" thickBot="1">
      <c r="A268" s="355" t="s">
        <v>1322</v>
      </c>
      <c r="B268" s="356" t="s">
        <v>1339</v>
      </c>
      <c r="C268" s="356" t="s">
        <v>1392</v>
      </c>
      <c r="D268" s="356" t="s">
        <v>1423</v>
      </c>
      <c r="E268" s="356"/>
      <c r="F268" s="356"/>
      <c r="G268" s="356"/>
      <c r="H268" s="357"/>
      <c r="I268" s="357"/>
      <c r="J268" s="358" t="s">
        <v>1592</v>
      </c>
      <c r="K268" s="386"/>
      <c r="L268" s="386"/>
      <c r="M268" s="386"/>
      <c r="N268" s="386"/>
      <c r="O268" s="386"/>
      <c r="P268" s="386"/>
      <c r="Q268" s="386"/>
      <c r="R268" s="386"/>
      <c r="S268" s="386"/>
      <c r="T268" s="386"/>
      <c r="U268" s="387"/>
      <c r="V268" s="356"/>
      <c r="W268" s="355"/>
      <c r="X268" s="355"/>
      <c r="Y268" s="342" t="s">
        <v>1324</v>
      </c>
    </row>
    <row r="269" spans="1:25" s="147" customFormat="1" ht="22.5" customHeight="1" thickTop="1" thickBot="1">
      <c r="A269" s="355" t="s">
        <v>1322</v>
      </c>
      <c r="B269" s="356" t="s">
        <v>1339</v>
      </c>
      <c r="C269" s="356" t="s">
        <v>1392</v>
      </c>
      <c r="D269" s="356" t="s">
        <v>1520</v>
      </c>
      <c r="E269" s="356"/>
      <c r="F269" s="356"/>
      <c r="G269" s="356"/>
      <c r="H269" s="357"/>
      <c r="I269" s="357"/>
      <c r="J269" s="358" t="s">
        <v>1593</v>
      </c>
      <c r="K269" s="386"/>
      <c r="L269" s="386"/>
      <c r="M269" s="386"/>
      <c r="N269" s="386"/>
      <c r="O269" s="386"/>
      <c r="P269" s="386"/>
      <c r="Q269" s="386"/>
      <c r="R269" s="386"/>
      <c r="S269" s="386"/>
      <c r="T269" s="386"/>
      <c r="U269" s="387"/>
      <c r="V269" s="356"/>
      <c r="W269" s="355"/>
      <c r="X269" s="355"/>
      <c r="Y269" s="342" t="s">
        <v>1324</v>
      </c>
    </row>
    <row r="270" spans="1:25" s="147" customFormat="1" ht="22.5" customHeight="1" thickTop="1" thickBot="1">
      <c r="A270" s="355" t="s">
        <v>1322</v>
      </c>
      <c r="B270" s="356" t="s">
        <v>1339</v>
      </c>
      <c r="C270" s="356" t="s">
        <v>1392</v>
      </c>
      <c r="D270" s="356" t="s">
        <v>1521</v>
      </c>
      <c r="E270" s="356"/>
      <c r="F270" s="356"/>
      <c r="G270" s="356"/>
      <c r="H270" s="357"/>
      <c r="I270" s="357"/>
      <c r="J270" s="358" t="s">
        <v>1594</v>
      </c>
      <c r="K270" s="386"/>
      <c r="L270" s="386"/>
      <c r="M270" s="386"/>
      <c r="N270" s="386"/>
      <c r="O270" s="386"/>
      <c r="P270" s="386"/>
      <c r="Q270" s="386"/>
      <c r="R270" s="386"/>
      <c r="S270" s="386"/>
      <c r="T270" s="386"/>
      <c r="U270" s="387"/>
      <c r="V270" s="356"/>
      <c r="W270" s="355"/>
      <c r="X270" s="355"/>
      <c r="Y270" s="342" t="s">
        <v>1324</v>
      </c>
    </row>
    <row r="271" spans="1:25" s="147" customFormat="1" ht="22.5" customHeight="1" thickTop="1" thickBot="1">
      <c r="A271" s="355" t="s">
        <v>1322</v>
      </c>
      <c r="B271" s="356" t="s">
        <v>1339</v>
      </c>
      <c r="C271" s="356" t="s">
        <v>1392</v>
      </c>
      <c r="D271" s="356" t="s">
        <v>1522</v>
      </c>
      <c r="E271" s="356"/>
      <c r="F271" s="356"/>
      <c r="G271" s="356"/>
      <c r="H271" s="357"/>
      <c r="I271" s="357"/>
      <c r="J271" s="358" t="s">
        <v>1595</v>
      </c>
      <c r="K271" s="386"/>
      <c r="L271" s="386"/>
      <c r="M271" s="386"/>
      <c r="N271" s="386"/>
      <c r="O271" s="386"/>
      <c r="P271" s="386"/>
      <c r="Q271" s="386"/>
      <c r="R271" s="386"/>
      <c r="S271" s="386"/>
      <c r="T271" s="386"/>
      <c r="U271" s="387"/>
      <c r="V271" s="356"/>
      <c r="W271" s="355" t="s">
        <v>1596</v>
      </c>
      <c r="X271" s="355"/>
      <c r="Y271" s="342" t="s">
        <v>1324</v>
      </c>
    </row>
    <row r="272" spans="1:25" s="147" customFormat="1" ht="22.5" customHeight="1" thickTop="1" thickBot="1">
      <c r="A272" s="355" t="s">
        <v>1322</v>
      </c>
      <c r="B272" s="356" t="s">
        <v>1339</v>
      </c>
      <c r="C272" s="356" t="s">
        <v>1392</v>
      </c>
      <c r="D272" s="356" t="s">
        <v>1523</v>
      </c>
      <c r="E272" s="356"/>
      <c r="F272" s="356"/>
      <c r="G272" s="356"/>
      <c r="H272" s="357"/>
      <c r="I272" s="357"/>
      <c r="J272" s="358" t="s">
        <v>1249</v>
      </c>
      <c r="K272" s="386"/>
      <c r="L272" s="386"/>
      <c r="M272" s="386"/>
      <c r="N272" s="386"/>
      <c r="O272" s="386"/>
      <c r="P272" s="386"/>
      <c r="Q272" s="386"/>
      <c r="R272" s="386"/>
      <c r="S272" s="386"/>
      <c r="T272" s="386"/>
      <c r="U272" s="387"/>
      <c r="V272" s="356"/>
      <c r="W272" s="355" t="s">
        <v>1597</v>
      </c>
      <c r="X272" s="355"/>
      <c r="Y272" s="342" t="s">
        <v>1324</v>
      </c>
    </row>
    <row r="273" spans="1:25" s="147" customFormat="1" ht="22.5" customHeight="1" thickTop="1" thickBot="1">
      <c r="A273" s="366" t="s">
        <v>1322</v>
      </c>
      <c r="B273" s="361" t="s">
        <v>1339</v>
      </c>
      <c r="C273" s="361" t="s">
        <v>1392</v>
      </c>
      <c r="D273" s="361" t="s">
        <v>1523</v>
      </c>
      <c r="E273" s="361" t="s">
        <v>1326</v>
      </c>
      <c r="F273" s="361"/>
      <c r="G273" s="361"/>
      <c r="H273" s="362"/>
      <c r="I273" s="362"/>
      <c r="J273" s="363" t="s">
        <v>1598</v>
      </c>
      <c r="K273" s="382"/>
      <c r="L273" s="382"/>
      <c r="M273" s="382"/>
      <c r="N273" s="382"/>
      <c r="O273" s="382"/>
      <c r="P273" s="382"/>
      <c r="Q273" s="382"/>
      <c r="R273" s="382"/>
      <c r="S273" s="382"/>
      <c r="T273" s="382"/>
      <c r="U273" s="383"/>
      <c r="V273" s="366"/>
      <c r="W273" s="366" t="s">
        <v>1599</v>
      </c>
      <c r="X273" s="366"/>
      <c r="Y273" s="342" t="s">
        <v>1324</v>
      </c>
    </row>
    <row r="274" spans="1:25" s="147" customFormat="1" ht="22.5" customHeight="1" thickTop="1" thickBot="1">
      <c r="A274" s="366" t="s">
        <v>1322</v>
      </c>
      <c r="B274" s="361" t="s">
        <v>1339</v>
      </c>
      <c r="C274" s="361" t="s">
        <v>1392</v>
      </c>
      <c r="D274" s="361" t="s">
        <v>1523</v>
      </c>
      <c r="E274" s="361" t="s">
        <v>1339</v>
      </c>
      <c r="F274" s="361"/>
      <c r="G274" s="361"/>
      <c r="H274" s="362"/>
      <c r="I274" s="362"/>
      <c r="J274" s="363" t="s">
        <v>1600</v>
      </c>
      <c r="K274" s="382"/>
      <c r="L274" s="382"/>
      <c r="M274" s="382"/>
      <c r="N274" s="382"/>
      <c r="O274" s="382"/>
      <c r="P274" s="382"/>
      <c r="Q274" s="382"/>
      <c r="R274" s="382"/>
      <c r="S274" s="382"/>
      <c r="T274" s="382"/>
      <c r="U274" s="383"/>
      <c r="V274" s="361"/>
      <c r="W274" s="366" t="s">
        <v>1601</v>
      </c>
      <c r="X274" s="366"/>
      <c r="Y274" s="342" t="s">
        <v>1324</v>
      </c>
    </row>
    <row r="275" spans="1:25" s="147" customFormat="1" ht="22.5" customHeight="1" thickTop="1" thickBot="1">
      <c r="A275" s="366" t="s">
        <v>1322</v>
      </c>
      <c r="B275" s="361" t="s">
        <v>1339</v>
      </c>
      <c r="C275" s="361" t="s">
        <v>1392</v>
      </c>
      <c r="D275" s="361" t="s">
        <v>1523</v>
      </c>
      <c r="E275" s="361" t="s">
        <v>1363</v>
      </c>
      <c r="F275" s="361"/>
      <c r="G275" s="361"/>
      <c r="H275" s="362"/>
      <c r="I275" s="362"/>
      <c r="J275" s="363" t="s">
        <v>1602</v>
      </c>
      <c r="K275" s="382"/>
      <c r="L275" s="382"/>
      <c r="M275" s="382"/>
      <c r="N275" s="382"/>
      <c r="O275" s="382"/>
      <c r="P275" s="382"/>
      <c r="Q275" s="382"/>
      <c r="R275" s="382"/>
      <c r="S275" s="382"/>
      <c r="T275" s="382"/>
      <c r="U275" s="383"/>
      <c r="V275" s="366"/>
      <c r="W275" s="366" t="s">
        <v>1603</v>
      </c>
      <c r="X275" s="366"/>
      <c r="Y275" s="342" t="s">
        <v>1324</v>
      </c>
    </row>
    <row r="276" spans="1:25" s="147" customFormat="1" ht="22.5" customHeight="1" thickTop="1" thickBot="1">
      <c r="A276" s="355" t="s">
        <v>1322</v>
      </c>
      <c r="B276" s="356" t="s">
        <v>1339</v>
      </c>
      <c r="C276" s="356" t="s">
        <v>1392</v>
      </c>
      <c r="D276" s="356" t="s">
        <v>1604</v>
      </c>
      <c r="E276" s="356"/>
      <c r="F276" s="356"/>
      <c r="G276" s="356"/>
      <c r="H276" s="357"/>
      <c r="I276" s="357"/>
      <c r="J276" s="358" t="s">
        <v>1605</v>
      </c>
      <c r="K276" s="386"/>
      <c r="L276" s="386"/>
      <c r="M276" s="386"/>
      <c r="N276" s="386"/>
      <c r="O276" s="386"/>
      <c r="P276" s="386"/>
      <c r="Q276" s="386"/>
      <c r="R276" s="386"/>
      <c r="S276" s="386"/>
      <c r="T276" s="386"/>
      <c r="U276" s="387"/>
      <c r="V276" s="356"/>
      <c r="W276" s="356" t="s">
        <v>1606</v>
      </c>
      <c r="X276" s="356"/>
      <c r="Y276" s="342" t="s">
        <v>1324</v>
      </c>
    </row>
    <row r="277" spans="1:25" s="147" customFormat="1" ht="22.5" customHeight="1" thickTop="1" thickBot="1">
      <c r="A277" s="366" t="s">
        <v>1322</v>
      </c>
      <c r="B277" s="361" t="s">
        <v>1339</v>
      </c>
      <c r="C277" s="361" t="s">
        <v>1392</v>
      </c>
      <c r="D277" s="361" t="s">
        <v>1604</v>
      </c>
      <c r="E277" s="361" t="s">
        <v>1326</v>
      </c>
      <c r="F277" s="361"/>
      <c r="G277" s="361"/>
      <c r="H277" s="362"/>
      <c r="I277" s="362"/>
      <c r="J277" s="363" t="s">
        <v>1607</v>
      </c>
      <c r="K277" s="393"/>
      <c r="L277" s="393"/>
      <c r="M277" s="393"/>
      <c r="N277" s="393"/>
      <c r="O277" s="393"/>
      <c r="P277" s="393"/>
      <c r="Q277" s="393"/>
      <c r="R277" s="393"/>
      <c r="S277" s="393"/>
      <c r="T277" s="393"/>
      <c r="U277" s="394"/>
      <c r="V277" s="361"/>
      <c r="W277" s="361" t="s">
        <v>1608</v>
      </c>
      <c r="X277" s="361"/>
      <c r="Y277" s="342" t="s">
        <v>1324</v>
      </c>
    </row>
    <row r="278" spans="1:25" ht="22.5" customHeight="1" thickTop="1" thickBot="1">
      <c r="A278" s="370" t="s">
        <v>1322</v>
      </c>
      <c r="B278" s="362" t="s">
        <v>1339</v>
      </c>
      <c r="C278" s="362" t="s">
        <v>1392</v>
      </c>
      <c r="D278" s="362" t="s">
        <v>1604</v>
      </c>
      <c r="E278" s="362" t="s">
        <v>1326</v>
      </c>
      <c r="F278" s="361" t="s">
        <v>1326</v>
      </c>
      <c r="G278" s="362"/>
      <c r="H278" s="362"/>
      <c r="I278" s="362"/>
      <c r="J278" s="367" t="s">
        <v>1609</v>
      </c>
      <c r="K278" s="393"/>
      <c r="L278" s="393"/>
      <c r="M278" s="393"/>
      <c r="N278" s="393"/>
      <c r="O278" s="393"/>
      <c r="P278" s="393"/>
      <c r="Q278" s="393"/>
      <c r="R278" s="393"/>
      <c r="S278" s="393"/>
      <c r="T278" s="393"/>
      <c r="U278" s="394"/>
      <c r="V278" s="361"/>
      <c r="W278" s="361"/>
      <c r="X278" s="361"/>
      <c r="Y278" s="342"/>
    </row>
    <row r="279" spans="1:25" ht="22.5" customHeight="1" thickTop="1" thickBot="1">
      <c r="A279" s="370" t="s">
        <v>1322</v>
      </c>
      <c r="B279" s="362" t="s">
        <v>1339</v>
      </c>
      <c r="C279" s="362" t="s">
        <v>1392</v>
      </c>
      <c r="D279" s="362" t="s">
        <v>1604</v>
      </c>
      <c r="E279" s="362" t="s">
        <v>1326</v>
      </c>
      <c r="F279" s="361" t="s">
        <v>1339</v>
      </c>
      <c r="G279" s="362"/>
      <c r="H279" s="362"/>
      <c r="I279" s="362"/>
      <c r="J279" s="367" t="s">
        <v>1610</v>
      </c>
      <c r="K279" s="393"/>
      <c r="L279" s="393"/>
      <c r="M279" s="393"/>
      <c r="N279" s="393"/>
      <c r="O279" s="393"/>
      <c r="P279" s="393"/>
      <c r="Q279" s="393"/>
      <c r="R279" s="393"/>
      <c r="S279" s="393"/>
      <c r="T279" s="393"/>
      <c r="U279" s="394"/>
      <c r="V279" s="361"/>
      <c r="W279" s="361"/>
      <c r="X279" s="361"/>
      <c r="Y279" s="342"/>
    </row>
    <row r="280" spans="1:25" s="147" customFormat="1" ht="22.5" customHeight="1" thickTop="1" thickBot="1">
      <c r="A280" s="366" t="s">
        <v>1322</v>
      </c>
      <c r="B280" s="361" t="s">
        <v>1339</v>
      </c>
      <c r="C280" s="361" t="s">
        <v>1392</v>
      </c>
      <c r="D280" s="361" t="s">
        <v>1604</v>
      </c>
      <c r="E280" s="361" t="s">
        <v>1339</v>
      </c>
      <c r="F280" s="361"/>
      <c r="G280" s="361"/>
      <c r="H280" s="362"/>
      <c r="I280" s="362"/>
      <c r="J280" s="363" t="s">
        <v>1611</v>
      </c>
      <c r="K280" s="393"/>
      <c r="L280" s="393"/>
      <c r="M280" s="393"/>
      <c r="N280" s="393"/>
      <c r="O280" s="393"/>
      <c r="P280" s="393"/>
      <c r="Q280" s="393"/>
      <c r="R280" s="393"/>
      <c r="S280" s="393"/>
      <c r="T280" s="393"/>
      <c r="U280" s="394"/>
      <c r="V280" s="361"/>
      <c r="W280" s="361"/>
      <c r="X280" s="361"/>
      <c r="Y280" s="342" t="s">
        <v>1324</v>
      </c>
    </row>
    <row r="281" spans="1:25" s="147" customFormat="1" ht="22.5" customHeight="1" thickTop="1" thickBot="1">
      <c r="A281" s="355">
        <v>1</v>
      </c>
      <c r="B281" s="356" t="s">
        <v>1339</v>
      </c>
      <c r="C281" s="356" t="s">
        <v>1392</v>
      </c>
      <c r="D281" s="356" t="s">
        <v>1612</v>
      </c>
      <c r="E281" s="356"/>
      <c r="F281" s="356"/>
      <c r="G281" s="356"/>
      <c r="H281" s="357"/>
      <c r="I281" s="357"/>
      <c r="J281" s="358" t="s">
        <v>1613</v>
      </c>
      <c r="K281" s="386"/>
      <c r="L281" s="386"/>
      <c r="M281" s="386"/>
      <c r="N281" s="386"/>
      <c r="O281" s="386"/>
      <c r="P281" s="386"/>
      <c r="Q281" s="386"/>
      <c r="R281" s="386"/>
      <c r="S281" s="386"/>
      <c r="T281" s="386"/>
      <c r="U281" s="387"/>
      <c r="V281" s="356"/>
      <c r="W281" s="356"/>
      <c r="X281" s="356"/>
      <c r="Y281" s="342"/>
    </row>
    <row r="282" spans="1:25" ht="22.5" customHeight="1" thickTop="1" thickBot="1">
      <c r="A282" s="370">
        <v>1</v>
      </c>
      <c r="B282" s="362" t="s">
        <v>1339</v>
      </c>
      <c r="C282" s="362" t="s">
        <v>1392</v>
      </c>
      <c r="D282" s="362" t="s">
        <v>1612</v>
      </c>
      <c r="E282" s="361" t="s">
        <v>1326</v>
      </c>
      <c r="F282" s="362"/>
      <c r="G282" s="362"/>
      <c r="H282" s="362"/>
      <c r="I282" s="362"/>
      <c r="J282" s="367" t="s">
        <v>1614</v>
      </c>
      <c r="K282" s="391"/>
      <c r="L282" s="391"/>
      <c r="M282" s="391"/>
      <c r="N282" s="391"/>
      <c r="O282" s="391"/>
      <c r="P282" s="391"/>
      <c r="Q282" s="391"/>
      <c r="R282" s="391"/>
      <c r="S282" s="391"/>
      <c r="T282" s="391"/>
      <c r="U282" s="392"/>
      <c r="V282" s="362"/>
      <c r="W282" s="362"/>
      <c r="X282" s="362"/>
      <c r="Y282" s="375"/>
    </row>
    <row r="283" spans="1:25" ht="22.5" customHeight="1" thickTop="1" thickBot="1">
      <c r="A283" s="370">
        <v>1</v>
      </c>
      <c r="B283" s="362" t="s">
        <v>1339</v>
      </c>
      <c r="C283" s="362" t="s">
        <v>1392</v>
      </c>
      <c r="D283" s="362" t="s">
        <v>1612</v>
      </c>
      <c r="E283" s="361" t="s">
        <v>1339</v>
      </c>
      <c r="F283" s="362"/>
      <c r="G283" s="362"/>
      <c r="H283" s="362"/>
      <c r="I283" s="362"/>
      <c r="J283" s="367" t="s">
        <v>1615</v>
      </c>
      <c r="K283" s="391"/>
      <c r="L283" s="391"/>
      <c r="M283" s="391"/>
      <c r="N283" s="391"/>
      <c r="O283" s="391"/>
      <c r="P283" s="391"/>
      <c r="Q283" s="391"/>
      <c r="R283" s="391"/>
      <c r="S283" s="391"/>
      <c r="T283" s="391"/>
      <c r="U283" s="392"/>
      <c r="V283" s="362"/>
      <c r="W283" s="362"/>
      <c r="X283" s="362"/>
      <c r="Y283" s="375"/>
    </row>
    <row r="284" spans="1:25" s="147" customFormat="1" ht="22.5" customHeight="1" thickTop="1" thickBot="1">
      <c r="A284" s="349" t="s">
        <v>1322</v>
      </c>
      <c r="B284" s="350" t="s">
        <v>1339</v>
      </c>
      <c r="C284" s="350" t="s">
        <v>1415</v>
      </c>
      <c r="D284" s="350"/>
      <c r="E284" s="350"/>
      <c r="F284" s="350"/>
      <c r="G284" s="350"/>
      <c r="H284" s="351"/>
      <c r="I284" s="351"/>
      <c r="J284" s="352" t="s">
        <v>1616</v>
      </c>
      <c r="K284" s="395"/>
      <c r="L284" s="395"/>
      <c r="M284" s="395"/>
      <c r="N284" s="395"/>
      <c r="O284" s="395"/>
      <c r="P284" s="395"/>
      <c r="Q284" s="395"/>
      <c r="R284" s="395"/>
      <c r="S284" s="395"/>
      <c r="T284" s="395"/>
      <c r="U284" s="396"/>
      <c r="V284" s="350"/>
      <c r="W284" s="350" t="s">
        <v>1617</v>
      </c>
      <c r="X284" s="350" t="s">
        <v>1618</v>
      </c>
      <c r="Y284" s="342" t="s">
        <v>1324</v>
      </c>
    </row>
    <row r="285" spans="1:25" s="147" customFormat="1" ht="22.5" customHeight="1" thickTop="1" thickBot="1">
      <c r="A285" s="355" t="s">
        <v>1322</v>
      </c>
      <c r="B285" s="356" t="s">
        <v>1339</v>
      </c>
      <c r="C285" s="356" t="s">
        <v>1415</v>
      </c>
      <c r="D285" s="356" t="s">
        <v>1326</v>
      </c>
      <c r="E285" s="356"/>
      <c r="F285" s="356"/>
      <c r="G285" s="356"/>
      <c r="H285" s="357"/>
      <c r="I285" s="357"/>
      <c r="J285" s="358" t="s">
        <v>1619</v>
      </c>
      <c r="K285" s="386"/>
      <c r="L285" s="386"/>
      <c r="M285" s="386"/>
      <c r="N285" s="386"/>
      <c r="O285" s="386"/>
      <c r="P285" s="386"/>
      <c r="Q285" s="386"/>
      <c r="R285" s="386"/>
      <c r="S285" s="386"/>
      <c r="T285" s="386"/>
      <c r="U285" s="387"/>
      <c r="V285" s="356"/>
      <c r="W285" s="355"/>
      <c r="X285" s="355"/>
      <c r="Y285" s="342" t="s">
        <v>1324</v>
      </c>
    </row>
    <row r="286" spans="1:25" s="147" customFormat="1" ht="22.5" customHeight="1" thickTop="1" thickBot="1">
      <c r="A286" s="366" t="s">
        <v>1322</v>
      </c>
      <c r="B286" s="361" t="s">
        <v>1339</v>
      </c>
      <c r="C286" s="361" t="s">
        <v>1415</v>
      </c>
      <c r="D286" s="361" t="s">
        <v>1326</v>
      </c>
      <c r="E286" s="361" t="s">
        <v>1326</v>
      </c>
      <c r="F286" s="361"/>
      <c r="G286" s="361"/>
      <c r="H286" s="362"/>
      <c r="I286" s="362"/>
      <c r="J286" s="363" t="s">
        <v>1620</v>
      </c>
      <c r="K286" s="382"/>
      <c r="L286" s="382"/>
      <c r="M286" s="382"/>
      <c r="N286" s="382"/>
      <c r="O286" s="382"/>
      <c r="P286" s="382"/>
      <c r="Q286" s="382"/>
      <c r="R286" s="382"/>
      <c r="S286" s="382"/>
      <c r="T286" s="382"/>
      <c r="U286" s="383"/>
      <c r="V286" s="361"/>
      <c r="W286" s="366"/>
      <c r="X286" s="366"/>
      <c r="Y286" s="342" t="s">
        <v>1324</v>
      </c>
    </row>
    <row r="287" spans="1:25" s="147" customFormat="1" ht="22.5" customHeight="1" thickTop="1" thickBot="1">
      <c r="A287" s="355" t="s">
        <v>1322</v>
      </c>
      <c r="B287" s="356" t="s">
        <v>1339</v>
      </c>
      <c r="C287" s="356" t="s">
        <v>1415</v>
      </c>
      <c r="D287" s="356" t="s">
        <v>1339</v>
      </c>
      <c r="E287" s="356"/>
      <c r="F287" s="356"/>
      <c r="G287" s="356"/>
      <c r="H287" s="357"/>
      <c r="I287" s="357"/>
      <c r="J287" s="358" t="s">
        <v>1621</v>
      </c>
      <c r="K287" s="386"/>
      <c r="L287" s="386"/>
      <c r="M287" s="386"/>
      <c r="N287" s="386"/>
      <c r="O287" s="386"/>
      <c r="P287" s="386"/>
      <c r="Q287" s="386"/>
      <c r="R287" s="386"/>
      <c r="S287" s="386"/>
      <c r="T287" s="386"/>
      <c r="U287" s="387"/>
      <c r="V287" s="356"/>
      <c r="W287" s="355"/>
      <c r="X287" s="355"/>
      <c r="Y287" s="342" t="s">
        <v>1324</v>
      </c>
    </row>
    <row r="288" spans="1:25" s="147" customFormat="1" ht="22.5" customHeight="1" thickTop="1" thickBot="1">
      <c r="A288" s="355" t="s">
        <v>1322</v>
      </c>
      <c r="B288" s="356" t="s">
        <v>1339</v>
      </c>
      <c r="C288" s="356" t="s">
        <v>1415</v>
      </c>
      <c r="D288" s="356" t="s">
        <v>1363</v>
      </c>
      <c r="E288" s="356"/>
      <c r="F288" s="356"/>
      <c r="G288" s="356"/>
      <c r="H288" s="357"/>
      <c r="I288" s="357"/>
      <c r="J288" s="358" t="s">
        <v>1622</v>
      </c>
      <c r="K288" s="386"/>
      <c r="L288" s="386"/>
      <c r="M288" s="386"/>
      <c r="N288" s="386"/>
      <c r="O288" s="386"/>
      <c r="P288" s="386"/>
      <c r="Q288" s="386"/>
      <c r="R288" s="386"/>
      <c r="S288" s="386"/>
      <c r="T288" s="386"/>
      <c r="U288" s="387"/>
      <c r="V288" s="356"/>
      <c r="W288" s="355"/>
      <c r="X288" s="355"/>
      <c r="Y288" s="342" t="s">
        <v>1324</v>
      </c>
    </row>
    <row r="289" spans="1:25" ht="22.5" customHeight="1" thickTop="1" thickBot="1">
      <c r="A289" s="370" t="s">
        <v>1322</v>
      </c>
      <c r="B289" s="362" t="s">
        <v>1339</v>
      </c>
      <c r="C289" s="362" t="s">
        <v>1415</v>
      </c>
      <c r="D289" s="362" t="s">
        <v>1363</v>
      </c>
      <c r="E289" s="361" t="s">
        <v>1326</v>
      </c>
      <c r="F289" s="362"/>
      <c r="G289" s="362"/>
      <c r="H289" s="362"/>
      <c r="I289" s="362"/>
      <c r="J289" s="367" t="s">
        <v>1623</v>
      </c>
      <c r="K289" s="384"/>
      <c r="L289" s="384"/>
      <c r="M289" s="384"/>
      <c r="N289" s="384"/>
      <c r="O289" s="384"/>
      <c r="P289" s="384"/>
      <c r="Q289" s="384"/>
      <c r="R289" s="384"/>
      <c r="S289" s="384"/>
      <c r="T289" s="384"/>
      <c r="U289" s="385"/>
      <c r="V289" s="370"/>
      <c r="W289" s="370"/>
      <c r="X289" s="370"/>
      <c r="Y289" s="375" t="s">
        <v>1324</v>
      </c>
    </row>
    <row r="290" spans="1:25" ht="22.5" customHeight="1" thickTop="1" thickBot="1">
      <c r="A290" s="370" t="s">
        <v>1322</v>
      </c>
      <c r="B290" s="362" t="s">
        <v>1339</v>
      </c>
      <c r="C290" s="362" t="s">
        <v>1415</v>
      </c>
      <c r="D290" s="362" t="s">
        <v>1363</v>
      </c>
      <c r="E290" s="361" t="s">
        <v>1339</v>
      </c>
      <c r="F290" s="362"/>
      <c r="G290" s="362"/>
      <c r="H290" s="362"/>
      <c r="I290" s="362"/>
      <c r="J290" s="367" t="s">
        <v>1624</v>
      </c>
      <c r="K290" s="384"/>
      <c r="L290" s="384"/>
      <c r="M290" s="384"/>
      <c r="N290" s="384"/>
      <c r="O290" s="384"/>
      <c r="P290" s="384"/>
      <c r="Q290" s="384"/>
      <c r="R290" s="384"/>
      <c r="S290" s="384"/>
      <c r="T290" s="384"/>
      <c r="U290" s="385"/>
      <c r="V290" s="370"/>
      <c r="W290" s="370"/>
      <c r="X290" s="370"/>
      <c r="Y290" s="375" t="s">
        <v>1324</v>
      </c>
    </row>
    <row r="291" spans="1:25" ht="22.5" customHeight="1" thickTop="1" thickBot="1">
      <c r="A291" s="370" t="s">
        <v>1322</v>
      </c>
      <c r="B291" s="362" t="s">
        <v>1339</v>
      </c>
      <c r="C291" s="362" t="s">
        <v>1415</v>
      </c>
      <c r="D291" s="362" t="s">
        <v>1363</v>
      </c>
      <c r="E291" s="361" t="s">
        <v>1363</v>
      </c>
      <c r="F291" s="362"/>
      <c r="G291" s="362"/>
      <c r="H291" s="362"/>
      <c r="I291" s="362"/>
      <c r="J291" s="367" t="s">
        <v>1625</v>
      </c>
      <c r="K291" s="384"/>
      <c r="L291" s="384"/>
      <c r="M291" s="384"/>
      <c r="N291" s="384"/>
      <c r="O291" s="384"/>
      <c r="P291" s="384"/>
      <c r="Q291" s="384"/>
      <c r="R291" s="384"/>
      <c r="S291" s="384"/>
      <c r="T291" s="384"/>
      <c r="U291" s="385"/>
      <c r="V291" s="370"/>
      <c r="W291" s="370"/>
      <c r="X291" s="370"/>
      <c r="Y291" s="375" t="s">
        <v>1324</v>
      </c>
    </row>
    <row r="292" spans="1:25" ht="22.5" customHeight="1" thickTop="1" thickBot="1">
      <c r="A292" s="370" t="s">
        <v>1322</v>
      </c>
      <c r="B292" s="362" t="s">
        <v>1339</v>
      </c>
      <c r="C292" s="362" t="s">
        <v>1415</v>
      </c>
      <c r="D292" s="362" t="s">
        <v>1363</v>
      </c>
      <c r="E292" s="361" t="s">
        <v>1367</v>
      </c>
      <c r="F292" s="362"/>
      <c r="G292" s="362"/>
      <c r="H292" s="362"/>
      <c r="I292" s="362"/>
      <c r="J292" s="367" t="s">
        <v>1626</v>
      </c>
      <c r="K292" s="384"/>
      <c r="L292" s="384"/>
      <c r="M292" s="384"/>
      <c r="N292" s="384"/>
      <c r="O292" s="384"/>
      <c r="P292" s="384"/>
      <c r="Q292" s="384"/>
      <c r="R292" s="384"/>
      <c r="S292" s="384"/>
      <c r="T292" s="384"/>
      <c r="U292" s="385"/>
      <c r="V292" s="370"/>
      <c r="W292" s="370"/>
      <c r="X292" s="370"/>
      <c r="Y292" s="375" t="s">
        <v>1324</v>
      </c>
    </row>
    <row r="293" spans="1:25" ht="22.5" customHeight="1" thickTop="1" thickBot="1">
      <c r="A293" s="370" t="s">
        <v>1322</v>
      </c>
      <c r="B293" s="362" t="s">
        <v>1339</v>
      </c>
      <c r="C293" s="362" t="s">
        <v>1415</v>
      </c>
      <c r="D293" s="362" t="s">
        <v>1363</v>
      </c>
      <c r="E293" s="361" t="s">
        <v>1392</v>
      </c>
      <c r="F293" s="362"/>
      <c r="G293" s="362"/>
      <c r="H293" s="362"/>
      <c r="I293" s="362"/>
      <c r="J293" s="367" t="s">
        <v>1627</v>
      </c>
      <c r="K293" s="384"/>
      <c r="L293" s="384"/>
      <c r="M293" s="384"/>
      <c r="N293" s="384"/>
      <c r="O293" s="384"/>
      <c r="P293" s="384"/>
      <c r="Q293" s="384"/>
      <c r="R293" s="384"/>
      <c r="S293" s="384"/>
      <c r="T293" s="384"/>
      <c r="U293" s="385"/>
      <c r="V293" s="370"/>
      <c r="W293" s="370"/>
      <c r="X293" s="370"/>
      <c r="Y293" s="375" t="s">
        <v>1324</v>
      </c>
    </row>
    <row r="294" spans="1:25" s="147" customFormat="1" ht="22.5" customHeight="1" thickTop="1" thickBot="1">
      <c r="A294" s="355" t="s">
        <v>1322</v>
      </c>
      <c r="B294" s="356" t="s">
        <v>1339</v>
      </c>
      <c r="C294" s="356" t="s">
        <v>1415</v>
      </c>
      <c r="D294" s="356" t="s">
        <v>1367</v>
      </c>
      <c r="E294" s="356"/>
      <c r="F294" s="356"/>
      <c r="G294" s="356"/>
      <c r="H294" s="357"/>
      <c r="I294" s="357"/>
      <c r="J294" s="358" t="s">
        <v>1628</v>
      </c>
      <c r="K294" s="386"/>
      <c r="L294" s="386"/>
      <c r="M294" s="386"/>
      <c r="N294" s="386"/>
      <c r="O294" s="386"/>
      <c r="P294" s="386"/>
      <c r="Q294" s="386"/>
      <c r="R294" s="386"/>
      <c r="S294" s="386"/>
      <c r="T294" s="386"/>
      <c r="U294" s="387"/>
      <c r="V294" s="356"/>
      <c r="W294" s="355"/>
      <c r="X294" s="355"/>
      <c r="Y294" s="342" t="s">
        <v>1324</v>
      </c>
    </row>
    <row r="295" spans="1:25" s="147" customFormat="1" ht="22.5" customHeight="1" thickTop="1" thickBot="1">
      <c r="A295" s="355" t="s">
        <v>1322</v>
      </c>
      <c r="B295" s="356" t="s">
        <v>1339</v>
      </c>
      <c r="C295" s="356" t="s">
        <v>1415</v>
      </c>
      <c r="D295" s="356" t="s">
        <v>1392</v>
      </c>
      <c r="E295" s="356"/>
      <c r="F295" s="356"/>
      <c r="G295" s="356"/>
      <c r="H295" s="357"/>
      <c r="I295" s="357"/>
      <c r="J295" s="358" t="s">
        <v>1629</v>
      </c>
      <c r="K295" s="386"/>
      <c r="L295" s="386"/>
      <c r="M295" s="386"/>
      <c r="N295" s="386"/>
      <c r="O295" s="386"/>
      <c r="P295" s="386"/>
      <c r="Q295" s="386"/>
      <c r="R295" s="386"/>
      <c r="S295" s="386"/>
      <c r="T295" s="386"/>
      <c r="U295" s="387"/>
      <c r="V295" s="356"/>
      <c r="W295" s="355"/>
      <c r="X295" s="355"/>
      <c r="Y295" s="342" t="s">
        <v>1324</v>
      </c>
    </row>
    <row r="296" spans="1:25" s="147" customFormat="1" ht="22.5" customHeight="1" thickTop="1" thickBot="1">
      <c r="A296" s="355">
        <v>1</v>
      </c>
      <c r="B296" s="356" t="s">
        <v>1339</v>
      </c>
      <c r="C296" s="356" t="s">
        <v>1415</v>
      </c>
      <c r="D296" s="356" t="s">
        <v>1415</v>
      </c>
      <c r="E296" s="356"/>
      <c r="F296" s="356"/>
      <c r="G296" s="356"/>
      <c r="H296" s="357"/>
      <c r="I296" s="357"/>
      <c r="J296" s="358" t="s">
        <v>1630</v>
      </c>
      <c r="K296" s="386"/>
      <c r="L296" s="386"/>
      <c r="M296" s="386"/>
      <c r="N296" s="386"/>
      <c r="O296" s="386"/>
      <c r="P296" s="386"/>
      <c r="Q296" s="386"/>
      <c r="R296" s="386"/>
      <c r="S296" s="386"/>
      <c r="T296" s="386"/>
      <c r="U296" s="387"/>
      <c r="V296" s="356"/>
      <c r="W296" s="355"/>
      <c r="X296" s="355"/>
      <c r="Y296" s="342"/>
    </row>
    <row r="297" spans="1:25" s="426" customFormat="1" ht="22.5" customHeight="1" thickTop="1" thickBot="1">
      <c r="A297" s="423" t="s">
        <v>1322</v>
      </c>
      <c r="B297" s="417" t="s">
        <v>1339</v>
      </c>
      <c r="C297" s="417" t="s">
        <v>1419</v>
      </c>
      <c r="D297" s="417"/>
      <c r="E297" s="417"/>
      <c r="F297" s="417"/>
      <c r="G297" s="417"/>
      <c r="H297" s="416"/>
      <c r="I297" s="416"/>
      <c r="J297" s="418" t="s">
        <v>1631</v>
      </c>
      <c r="K297" s="424"/>
      <c r="L297" s="424"/>
      <c r="M297" s="424"/>
      <c r="N297" s="424"/>
      <c r="O297" s="424"/>
      <c r="P297" s="424"/>
      <c r="Q297" s="424"/>
      <c r="R297" s="424"/>
      <c r="S297" s="424"/>
      <c r="T297" s="424"/>
      <c r="U297" s="425"/>
      <c r="V297" s="417"/>
      <c r="W297" s="417" t="s">
        <v>1632</v>
      </c>
      <c r="X297" s="417"/>
      <c r="Y297" s="421" t="s">
        <v>1324</v>
      </c>
    </row>
    <row r="298" spans="1:25" s="426" customFormat="1" ht="22.5" customHeight="1" thickTop="1" thickBot="1">
      <c r="A298" s="423"/>
      <c r="B298" s="417"/>
      <c r="C298" s="417"/>
      <c r="D298" s="417"/>
      <c r="E298" s="417"/>
      <c r="F298" s="417"/>
      <c r="G298" s="417"/>
      <c r="H298" s="416"/>
      <c r="I298" s="416"/>
      <c r="J298" s="418"/>
      <c r="K298" s="424"/>
      <c r="L298" s="424"/>
      <c r="M298" s="424"/>
      <c r="N298" s="424"/>
      <c r="O298" s="424"/>
      <c r="P298" s="424"/>
      <c r="Q298" s="424"/>
      <c r="R298" s="424"/>
      <c r="S298" s="424"/>
      <c r="T298" s="424"/>
      <c r="U298" s="425"/>
      <c r="V298" s="417"/>
      <c r="W298" s="417"/>
      <c r="X298" s="417"/>
      <c r="Y298" s="421"/>
    </row>
    <row r="299" spans="1:25" s="426" customFormat="1" ht="22.5" customHeight="1" thickTop="1" thickBot="1">
      <c r="A299" s="423"/>
      <c r="B299" s="417"/>
      <c r="C299" s="417"/>
      <c r="D299" s="417"/>
      <c r="E299" s="417"/>
      <c r="F299" s="417"/>
      <c r="G299" s="417"/>
      <c r="H299" s="416"/>
      <c r="I299" s="416"/>
      <c r="J299" s="418"/>
      <c r="K299" s="424"/>
      <c r="L299" s="424"/>
      <c r="M299" s="424"/>
      <c r="N299" s="424"/>
      <c r="O299" s="424"/>
      <c r="P299" s="424"/>
      <c r="Q299" s="424"/>
      <c r="R299" s="424"/>
      <c r="S299" s="424"/>
      <c r="T299" s="424"/>
      <c r="U299" s="425"/>
      <c r="V299" s="417"/>
      <c r="W299" s="423"/>
      <c r="X299" s="423"/>
      <c r="Y299" s="421"/>
    </row>
    <row r="300" spans="1:25" s="147" customFormat="1" ht="22.5" customHeight="1" thickTop="1" thickBot="1">
      <c r="A300" s="355" t="s">
        <v>1322</v>
      </c>
      <c r="B300" s="356" t="s">
        <v>1339</v>
      </c>
      <c r="C300" s="356" t="s">
        <v>1419</v>
      </c>
      <c r="D300" s="356" t="s">
        <v>1363</v>
      </c>
      <c r="E300" s="356"/>
      <c r="F300" s="356"/>
      <c r="G300" s="356"/>
      <c r="H300" s="357"/>
      <c r="I300" s="357"/>
      <c r="J300" s="358" t="s">
        <v>1633</v>
      </c>
      <c r="K300" s="359"/>
      <c r="L300" s="359"/>
      <c r="M300" s="359"/>
      <c r="N300" s="359"/>
      <c r="O300" s="359"/>
      <c r="P300" s="359"/>
      <c r="Q300" s="359"/>
      <c r="R300" s="359"/>
      <c r="S300" s="359"/>
      <c r="T300" s="359"/>
      <c r="U300" s="360"/>
      <c r="V300" s="356"/>
      <c r="W300" s="356"/>
      <c r="X300" s="356"/>
      <c r="Y300" s="342" t="s">
        <v>1324</v>
      </c>
    </row>
    <row r="301" spans="1:25" s="147" customFormat="1" ht="22.5" customHeight="1" thickTop="1" thickBot="1">
      <c r="A301" s="366" t="s">
        <v>1322</v>
      </c>
      <c r="B301" s="361" t="s">
        <v>1339</v>
      </c>
      <c r="C301" s="361" t="s">
        <v>1419</v>
      </c>
      <c r="D301" s="361" t="s">
        <v>1363</v>
      </c>
      <c r="E301" s="361" t="s">
        <v>1326</v>
      </c>
      <c r="F301" s="361"/>
      <c r="G301" s="361"/>
      <c r="H301" s="362"/>
      <c r="I301" s="362"/>
      <c r="J301" s="363" t="s">
        <v>1634</v>
      </c>
      <c r="K301" s="364"/>
      <c r="L301" s="364"/>
      <c r="M301" s="364"/>
      <c r="N301" s="364"/>
      <c r="O301" s="364"/>
      <c r="P301" s="364"/>
      <c r="Q301" s="364"/>
      <c r="R301" s="364"/>
      <c r="S301" s="364"/>
      <c r="T301" s="364"/>
      <c r="U301" s="365"/>
      <c r="V301" s="361"/>
      <c r="W301" s="366"/>
      <c r="X301" s="366"/>
      <c r="Y301" s="342" t="s">
        <v>1324</v>
      </c>
    </row>
    <row r="302" spans="1:25" ht="22.5" customHeight="1" thickTop="1" thickBot="1">
      <c r="A302" s="370" t="s">
        <v>1322</v>
      </c>
      <c r="B302" s="362" t="s">
        <v>1339</v>
      </c>
      <c r="C302" s="362" t="s">
        <v>1419</v>
      </c>
      <c r="D302" s="362" t="s">
        <v>1363</v>
      </c>
      <c r="E302" s="362" t="s">
        <v>1326</v>
      </c>
      <c r="F302" s="361" t="s">
        <v>1326</v>
      </c>
      <c r="G302" s="362"/>
      <c r="H302" s="362"/>
      <c r="I302" s="362"/>
      <c r="J302" s="367" t="s">
        <v>1635</v>
      </c>
      <c r="K302" s="368"/>
      <c r="L302" s="368"/>
      <c r="M302" s="368"/>
      <c r="N302" s="364"/>
      <c r="O302" s="368"/>
      <c r="P302" s="368"/>
      <c r="Q302" s="368"/>
      <c r="R302" s="368"/>
      <c r="S302" s="364"/>
      <c r="T302" s="368"/>
      <c r="U302" s="369"/>
      <c r="V302" s="362"/>
      <c r="W302" s="370"/>
      <c r="X302" s="370"/>
      <c r="Y302" s="342" t="s">
        <v>1324</v>
      </c>
    </row>
    <row r="303" spans="1:25" s="147" customFormat="1" ht="22.5" customHeight="1" thickTop="1" thickBot="1">
      <c r="A303" s="366" t="s">
        <v>1322</v>
      </c>
      <c r="B303" s="361" t="s">
        <v>1339</v>
      </c>
      <c r="C303" s="361" t="s">
        <v>1419</v>
      </c>
      <c r="D303" s="361" t="s">
        <v>1363</v>
      </c>
      <c r="E303" s="361" t="s">
        <v>1339</v>
      </c>
      <c r="F303" s="361"/>
      <c r="G303" s="361"/>
      <c r="H303" s="362"/>
      <c r="I303" s="362"/>
      <c r="J303" s="363" t="s">
        <v>1636</v>
      </c>
      <c r="K303" s="364"/>
      <c r="L303" s="364"/>
      <c r="M303" s="364"/>
      <c r="N303" s="364"/>
      <c r="O303" s="364"/>
      <c r="P303" s="364"/>
      <c r="Q303" s="364"/>
      <c r="R303" s="364"/>
      <c r="S303" s="364"/>
      <c r="T303" s="364"/>
      <c r="U303" s="365"/>
      <c r="V303" s="361"/>
      <c r="W303" s="366"/>
      <c r="X303" s="366"/>
      <c r="Y303" s="342" t="s">
        <v>1324</v>
      </c>
    </row>
    <row r="304" spans="1:25" s="147" customFormat="1" ht="22.5" customHeight="1" thickTop="1" thickBot="1">
      <c r="A304" s="366" t="s">
        <v>1322</v>
      </c>
      <c r="B304" s="361" t="s">
        <v>1339</v>
      </c>
      <c r="C304" s="361" t="s">
        <v>1419</v>
      </c>
      <c r="D304" s="361" t="s">
        <v>1363</v>
      </c>
      <c r="E304" s="361" t="s">
        <v>1363</v>
      </c>
      <c r="F304" s="361"/>
      <c r="G304" s="361"/>
      <c r="H304" s="362"/>
      <c r="I304" s="362"/>
      <c r="J304" s="363" t="s">
        <v>1637</v>
      </c>
      <c r="K304" s="364"/>
      <c r="L304" s="364"/>
      <c r="M304" s="364"/>
      <c r="N304" s="364"/>
      <c r="O304" s="364"/>
      <c r="P304" s="364"/>
      <c r="Q304" s="364"/>
      <c r="R304" s="364"/>
      <c r="S304" s="364"/>
      <c r="T304" s="364"/>
      <c r="U304" s="365"/>
      <c r="V304" s="361"/>
      <c r="W304" s="366"/>
      <c r="X304" s="366"/>
      <c r="Y304" s="342" t="s">
        <v>1324</v>
      </c>
    </row>
    <row r="305" spans="1:25" ht="22.5" customHeight="1" thickTop="1" thickBot="1">
      <c r="A305" s="370" t="s">
        <v>1322</v>
      </c>
      <c r="B305" s="362" t="s">
        <v>1339</v>
      </c>
      <c r="C305" s="362" t="s">
        <v>1419</v>
      </c>
      <c r="D305" s="362" t="s">
        <v>1363</v>
      </c>
      <c r="E305" s="362" t="s">
        <v>1363</v>
      </c>
      <c r="F305" s="361" t="s">
        <v>1326</v>
      </c>
      <c r="G305" s="362"/>
      <c r="H305" s="362"/>
      <c r="I305" s="362"/>
      <c r="J305" s="367" t="s">
        <v>1638</v>
      </c>
      <c r="K305" s="368"/>
      <c r="L305" s="368"/>
      <c r="M305" s="368"/>
      <c r="N305" s="364"/>
      <c r="O305" s="368"/>
      <c r="P305" s="368"/>
      <c r="Q305" s="368"/>
      <c r="R305" s="368"/>
      <c r="S305" s="364"/>
      <c r="T305" s="368"/>
      <c r="U305" s="369"/>
      <c r="V305" s="362"/>
      <c r="W305" s="370"/>
      <c r="X305" s="370"/>
      <c r="Y305" s="342" t="s">
        <v>1324</v>
      </c>
    </row>
    <row r="306" spans="1:25" ht="22.5" customHeight="1" thickTop="1" thickBot="1">
      <c r="A306" s="370" t="s">
        <v>1322</v>
      </c>
      <c r="B306" s="362" t="s">
        <v>1339</v>
      </c>
      <c r="C306" s="362" t="s">
        <v>1419</v>
      </c>
      <c r="D306" s="362" t="s">
        <v>1363</v>
      </c>
      <c r="E306" s="362" t="s">
        <v>1363</v>
      </c>
      <c r="F306" s="361" t="s">
        <v>1339</v>
      </c>
      <c r="G306" s="362"/>
      <c r="H306" s="362"/>
      <c r="I306" s="362"/>
      <c r="J306" s="367" t="s">
        <v>1639</v>
      </c>
      <c r="K306" s="368"/>
      <c r="L306" s="368"/>
      <c r="M306" s="368"/>
      <c r="N306" s="364"/>
      <c r="O306" s="368"/>
      <c r="P306" s="368"/>
      <c r="Q306" s="368"/>
      <c r="R306" s="368"/>
      <c r="S306" s="364"/>
      <c r="T306" s="368"/>
      <c r="U306" s="369"/>
      <c r="V306" s="362"/>
      <c r="W306" s="370"/>
      <c r="X306" s="370"/>
      <c r="Y306" s="342" t="s">
        <v>1324</v>
      </c>
    </row>
    <row r="307" spans="1:25" ht="22.5" customHeight="1" thickTop="1" thickBot="1">
      <c r="A307" s="370" t="s">
        <v>1322</v>
      </c>
      <c r="B307" s="362" t="s">
        <v>1339</v>
      </c>
      <c r="C307" s="362" t="s">
        <v>1419</v>
      </c>
      <c r="D307" s="362" t="s">
        <v>1363</v>
      </c>
      <c r="E307" s="362" t="s">
        <v>1363</v>
      </c>
      <c r="F307" s="361" t="s">
        <v>1363</v>
      </c>
      <c r="G307" s="362"/>
      <c r="H307" s="362"/>
      <c r="I307" s="362"/>
      <c r="J307" s="367" t="s">
        <v>1640</v>
      </c>
      <c r="K307" s="368"/>
      <c r="L307" s="368"/>
      <c r="M307" s="368"/>
      <c r="N307" s="364"/>
      <c r="O307" s="368"/>
      <c r="P307" s="368"/>
      <c r="Q307" s="368"/>
      <c r="R307" s="368"/>
      <c r="S307" s="364"/>
      <c r="T307" s="368"/>
      <c r="U307" s="369"/>
      <c r="V307" s="362"/>
      <c r="W307" s="370"/>
      <c r="X307" s="370"/>
      <c r="Y307" s="342" t="s">
        <v>1324</v>
      </c>
    </row>
    <row r="308" spans="1:25" ht="22.5" customHeight="1" thickTop="1" thickBot="1">
      <c r="A308" s="370" t="s">
        <v>1322</v>
      </c>
      <c r="B308" s="362" t="s">
        <v>1339</v>
      </c>
      <c r="C308" s="362" t="s">
        <v>1419</v>
      </c>
      <c r="D308" s="362" t="s">
        <v>1363</v>
      </c>
      <c r="E308" s="362" t="s">
        <v>1363</v>
      </c>
      <c r="F308" s="361" t="s">
        <v>1367</v>
      </c>
      <c r="G308" s="362"/>
      <c r="H308" s="362"/>
      <c r="I308" s="362"/>
      <c r="J308" s="367" t="s">
        <v>1641</v>
      </c>
      <c r="K308" s="368"/>
      <c r="L308" s="368"/>
      <c r="M308" s="368"/>
      <c r="N308" s="364"/>
      <c r="O308" s="368"/>
      <c r="P308" s="368"/>
      <c r="Q308" s="368"/>
      <c r="R308" s="368"/>
      <c r="S308" s="364"/>
      <c r="T308" s="368"/>
      <c r="U308" s="369"/>
      <c r="V308" s="362"/>
      <c r="W308" s="370"/>
      <c r="X308" s="370"/>
      <c r="Y308" s="342" t="s">
        <v>1324</v>
      </c>
    </row>
    <row r="309" spans="1:25" ht="22.5" customHeight="1" thickTop="1" thickBot="1">
      <c r="A309" s="370" t="s">
        <v>1322</v>
      </c>
      <c r="B309" s="362" t="s">
        <v>1339</v>
      </c>
      <c r="C309" s="362" t="s">
        <v>1419</v>
      </c>
      <c r="D309" s="362" t="s">
        <v>1363</v>
      </c>
      <c r="E309" s="362" t="s">
        <v>1363</v>
      </c>
      <c r="F309" s="361" t="s">
        <v>1392</v>
      </c>
      <c r="G309" s="362"/>
      <c r="H309" s="362"/>
      <c r="I309" s="362"/>
      <c r="J309" s="367" t="s">
        <v>1642</v>
      </c>
      <c r="K309" s="368"/>
      <c r="L309" s="368"/>
      <c r="M309" s="368"/>
      <c r="N309" s="364"/>
      <c r="O309" s="368"/>
      <c r="P309" s="368"/>
      <c r="Q309" s="368"/>
      <c r="R309" s="368"/>
      <c r="S309" s="364"/>
      <c r="T309" s="368"/>
      <c r="U309" s="369"/>
      <c r="V309" s="362"/>
      <c r="W309" s="370"/>
      <c r="X309" s="370"/>
      <c r="Y309" s="342" t="s">
        <v>1324</v>
      </c>
    </row>
    <row r="310" spans="1:25" s="147" customFormat="1" ht="22.5" customHeight="1" thickTop="1" thickBot="1">
      <c r="A310" s="366" t="s">
        <v>1322</v>
      </c>
      <c r="B310" s="361" t="s">
        <v>1339</v>
      </c>
      <c r="C310" s="361" t="s">
        <v>1419</v>
      </c>
      <c r="D310" s="361" t="s">
        <v>1363</v>
      </c>
      <c r="E310" s="361" t="s">
        <v>1367</v>
      </c>
      <c r="F310" s="361"/>
      <c r="G310" s="361"/>
      <c r="H310" s="362"/>
      <c r="I310" s="362"/>
      <c r="J310" s="363" t="s">
        <v>1643</v>
      </c>
      <c r="K310" s="364"/>
      <c r="L310" s="364"/>
      <c r="M310" s="364"/>
      <c r="N310" s="364"/>
      <c r="O310" s="364"/>
      <c r="P310" s="364"/>
      <c r="Q310" s="364"/>
      <c r="R310" s="364"/>
      <c r="S310" s="364"/>
      <c r="T310" s="364"/>
      <c r="U310" s="365"/>
      <c r="V310" s="361"/>
      <c r="W310" s="366"/>
      <c r="X310" s="366"/>
      <c r="Y310" s="342" t="s">
        <v>1324</v>
      </c>
    </row>
    <row r="311" spans="1:25" s="147" customFormat="1" ht="22.5" customHeight="1" thickTop="1" thickBot="1">
      <c r="A311" s="366" t="s">
        <v>1322</v>
      </c>
      <c r="B311" s="361" t="s">
        <v>1339</v>
      </c>
      <c r="C311" s="361" t="s">
        <v>1419</v>
      </c>
      <c r="D311" s="361" t="s">
        <v>1363</v>
      </c>
      <c r="E311" s="361" t="s">
        <v>1392</v>
      </c>
      <c r="F311" s="361"/>
      <c r="G311" s="361"/>
      <c r="H311" s="362"/>
      <c r="I311" s="362"/>
      <c r="J311" s="363" t="s">
        <v>1644</v>
      </c>
      <c r="K311" s="364"/>
      <c r="L311" s="364"/>
      <c r="M311" s="364"/>
      <c r="N311" s="364"/>
      <c r="O311" s="364"/>
      <c r="P311" s="364"/>
      <c r="Q311" s="364"/>
      <c r="R311" s="364"/>
      <c r="S311" s="364"/>
      <c r="T311" s="364"/>
      <c r="U311" s="365"/>
      <c r="V311" s="361"/>
      <c r="W311" s="366"/>
      <c r="X311" s="366"/>
      <c r="Y311" s="342" t="s">
        <v>1324</v>
      </c>
    </row>
    <row r="312" spans="1:25" ht="22.5" customHeight="1" thickTop="1" thickBot="1">
      <c r="A312" s="366" t="s">
        <v>1322</v>
      </c>
      <c r="B312" s="361" t="s">
        <v>1339</v>
      </c>
      <c r="C312" s="361" t="s">
        <v>1419</v>
      </c>
      <c r="D312" s="361" t="s">
        <v>1363</v>
      </c>
      <c r="E312" s="361" t="s">
        <v>1415</v>
      </c>
      <c r="F312" s="362"/>
      <c r="G312" s="362"/>
      <c r="H312" s="362"/>
      <c r="I312" s="362"/>
      <c r="J312" s="363" t="s">
        <v>1645</v>
      </c>
      <c r="K312" s="364"/>
      <c r="L312" s="364"/>
      <c r="M312" s="364"/>
      <c r="N312" s="364"/>
      <c r="O312" s="364"/>
      <c r="P312" s="364"/>
      <c r="Q312" s="364"/>
      <c r="R312" s="364"/>
      <c r="S312" s="364"/>
      <c r="T312" s="364"/>
      <c r="U312" s="365"/>
      <c r="V312" s="361"/>
      <c r="W312" s="366"/>
      <c r="X312" s="366"/>
    </row>
    <row r="313" spans="1:25" ht="22.5" customHeight="1" thickTop="1" thickBot="1">
      <c r="A313" s="366" t="s">
        <v>1322</v>
      </c>
      <c r="B313" s="361" t="s">
        <v>1339</v>
      </c>
      <c r="C313" s="361" t="s">
        <v>1419</v>
      </c>
      <c r="D313" s="361" t="s">
        <v>1363</v>
      </c>
      <c r="E313" s="361" t="s">
        <v>1419</v>
      </c>
      <c r="F313" s="362"/>
      <c r="G313" s="362"/>
      <c r="H313" s="362"/>
      <c r="I313" s="362"/>
      <c r="J313" s="363" t="s">
        <v>1646</v>
      </c>
      <c r="K313" s="364"/>
      <c r="L313" s="364"/>
      <c r="M313" s="364"/>
      <c r="N313" s="364"/>
      <c r="O313" s="364"/>
      <c r="P313" s="364"/>
      <c r="Q313" s="364"/>
      <c r="R313" s="364"/>
      <c r="S313" s="364"/>
      <c r="T313" s="364"/>
      <c r="U313" s="365"/>
      <c r="V313" s="361"/>
      <c r="W313" s="366"/>
      <c r="X313" s="366"/>
    </row>
    <row r="314" spans="1:25" ht="22.5" customHeight="1" thickTop="1" thickBot="1">
      <c r="A314" s="366" t="s">
        <v>1322</v>
      </c>
      <c r="B314" s="361" t="s">
        <v>1339</v>
      </c>
      <c r="C314" s="361" t="s">
        <v>1419</v>
      </c>
      <c r="D314" s="361" t="s">
        <v>1363</v>
      </c>
      <c r="E314" s="361" t="s">
        <v>1423</v>
      </c>
      <c r="F314" s="362"/>
      <c r="G314" s="362"/>
      <c r="H314" s="362"/>
      <c r="I314" s="362"/>
      <c r="J314" s="363" t="s">
        <v>1647</v>
      </c>
      <c r="K314" s="364"/>
      <c r="L314" s="364"/>
      <c r="M314" s="364"/>
      <c r="N314" s="364"/>
      <c r="O314" s="364"/>
      <c r="P314" s="364"/>
      <c r="Q314" s="364"/>
      <c r="R314" s="364"/>
      <c r="S314" s="364"/>
      <c r="T314" s="364"/>
      <c r="U314" s="365"/>
      <c r="V314" s="361"/>
      <c r="W314" s="366"/>
      <c r="X314" s="366"/>
    </row>
    <row r="315" spans="1:25" ht="22.5" customHeight="1" thickTop="1" thickBot="1">
      <c r="A315" s="370" t="s">
        <v>1322</v>
      </c>
      <c r="B315" s="362" t="s">
        <v>1339</v>
      </c>
      <c r="C315" s="362" t="s">
        <v>1419</v>
      </c>
      <c r="D315" s="362" t="s">
        <v>1363</v>
      </c>
      <c r="E315" s="362" t="s">
        <v>1423</v>
      </c>
      <c r="F315" s="361" t="s">
        <v>1326</v>
      </c>
      <c r="G315" s="362"/>
      <c r="H315" s="362"/>
      <c r="I315" s="362"/>
      <c r="J315" s="363" t="s">
        <v>1648</v>
      </c>
      <c r="K315" s="364"/>
      <c r="L315" s="364"/>
      <c r="M315" s="364"/>
      <c r="N315" s="364"/>
      <c r="O315" s="364"/>
      <c r="P315" s="364"/>
      <c r="Q315" s="364"/>
      <c r="R315" s="364"/>
      <c r="S315" s="364"/>
      <c r="T315" s="364"/>
      <c r="U315" s="365"/>
      <c r="V315" s="361"/>
      <c r="W315" s="366"/>
      <c r="X315" s="366"/>
    </row>
    <row r="316" spans="1:25" ht="22.5" customHeight="1" thickTop="1" thickBot="1">
      <c r="A316" s="370" t="s">
        <v>1322</v>
      </c>
      <c r="B316" s="362" t="s">
        <v>1339</v>
      </c>
      <c r="C316" s="362" t="s">
        <v>1419</v>
      </c>
      <c r="D316" s="362" t="s">
        <v>1363</v>
      </c>
      <c r="E316" s="362" t="s">
        <v>1423</v>
      </c>
      <c r="F316" s="362" t="s">
        <v>1326</v>
      </c>
      <c r="G316" s="361" t="s">
        <v>1326</v>
      </c>
      <c r="H316" s="362"/>
      <c r="I316" s="362"/>
      <c r="J316" s="367" t="s">
        <v>1649</v>
      </c>
      <c r="K316" s="364"/>
      <c r="L316" s="364"/>
      <c r="M316" s="364"/>
      <c r="N316" s="364"/>
      <c r="O316" s="364"/>
      <c r="P316" s="364"/>
      <c r="Q316" s="364"/>
      <c r="R316" s="364"/>
      <c r="S316" s="364"/>
      <c r="T316" s="364"/>
      <c r="U316" s="365"/>
      <c r="V316" s="361"/>
      <c r="W316" s="366"/>
      <c r="X316" s="366"/>
    </row>
    <row r="317" spans="1:25" ht="22.5" customHeight="1" thickTop="1" thickBot="1">
      <c r="A317" s="370" t="s">
        <v>1322</v>
      </c>
      <c r="B317" s="362" t="s">
        <v>1339</v>
      </c>
      <c r="C317" s="362" t="s">
        <v>1419</v>
      </c>
      <c r="D317" s="362" t="s">
        <v>1363</v>
      </c>
      <c r="E317" s="362" t="s">
        <v>1423</v>
      </c>
      <c r="F317" s="362" t="s">
        <v>1326</v>
      </c>
      <c r="G317" s="361" t="s">
        <v>1339</v>
      </c>
      <c r="H317" s="362"/>
      <c r="I317" s="362"/>
      <c r="J317" s="367" t="s">
        <v>1650</v>
      </c>
      <c r="K317" s="364"/>
      <c r="L317" s="364"/>
      <c r="M317" s="364"/>
      <c r="N317" s="364"/>
      <c r="O317" s="364"/>
      <c r="P317" s="364"/>
      <c r="Q317" s="364"/>
      <c r="R317" s="364"/>
      <c r="S317" s="364"/>
      <c r="T317" s="364"/>
      <c r="U317" s="365"/>
      <c r="V317" s="361"/>
      <c r="W317" s="366"/>
      <c r="X317" s="366"/>
    </row>
    <row r="318" spans="1:25" ht="22.5" customHeight="1" thickTop="1" thickBot="1">
      <c r="A318" s="370" t="s">
        <v>1322</v>
      </c>
      <c r="B318" s="362" t="s">
        <v>1339</v>
      </c>
      <c r="C318" s="362" t="s">
        <v>1419</v>
      </c>
      <c r="D318" s="362" t="s">
        <v>1363</v>
      </c>
      <c r="E318" s="362" t="s">
        <v>1423</v>
      </c>
      <c r="F318" s="362" t="s">
        <v>1326</v>
      </c>
      <c r="G318" s="361" t="s">
        <v>1363</v>
      </c>
      <c r="H318" s="362"/>
      <c r="I318" s="362"/>
      <c r="J318" s="367" t="s">
        <v>1651</v>
      </c>
      <c r="K318" s="364"/>
      <c r="L318" s="364"/>
      <c r="M318" s="364"/>
      <c r="N318" s="364"/>
      <c r="O318" s="364"/>
      <c r="P318" s="364"/>
      <c r="Q318" s="364"/>
      <c r="R318" s="364"/>
      <c r="S318" s="364"/>
      <c r="T318" s="364"/>
      <c r="U318" s="365"/>
      <c r="V318" s="361"/>
      <c r="W318" s="366"/>
      <c r="X318" s="366"/>
    </row>
    <row r="319" spans="1:25" ht="22.5" customHeight="1" thickTop="1" thickBot="1">
      <c r="A319" s="366" t="s">
        <v>1322</v>
      </c>
      <c r="B319" s="361" t="s">
        <v>1339</v>
      </c>
      <c r="C319" s="361" t="s">
        <v>1419</v>
      </c>
      <c r="D319" s="361" t="s">
        <v>1363</v>
      </c>
      <c r="E319" s="361" t="s">
        <v>1520</v>
      </c>
      <c r="F319" s="362"/>
      <c r="G319" s="362"/>
      <c r="H319" s="362"/>
      <c r="I319" s="362"/>
      <c r="J319" s="363" t="s">
        <v>1652</v>
      </c>
      <c r="K319" s="364"/>
      <c r="L319" s="364"/>
      <c r="M319" s="364"/>
      <c r="N319" s="364"/>
      <c r="O319" s="364"/>
      <c r="P319" s="364"/>
      <c r="Q319" s="364"/>
      <c r="R319" s="364"/>
      <c r="S319" s="364"/>
      <c r="T319" s="364"/>
      <c r="U319" s="365"/>
      <c r="V319" s="361"/>
      <c r="W319" s="366"/>
      <c r="X319" s="366"/>
    </row>
    <row r="320" spans="1:25" ht="22.5" customHeight="1" thickTop="1" thickBot="1">
      <c r="A320" s="370" t="s">
        <v>1322</v>
      </c>
      <c r="B320" s="362" t="s">
        <v>1339</v>
      </c>
      <c r="C320" s="362" t="s">
        <v>1419</v>
      </c>
      <c r="D320" s="362" t="s">
        <v>1363</v>
      </c>
      <c r="E320" s="362" t="s">
        <v>1520</v>
      </c>
      <c r="F320" s="361" t="s">
        <v>1326</v>
      </c>
      <c r="G320" s="362"/>
      <c r="H320" s="362"/>
      <c r="I320" s="362"/>
      <c r="J320" s="367" t="s">
        <v>1653</v>
      </c>
      <c r="K320" s="364"/>
      <c r="L320" s="364"/>
      <c r="M320" s="364"/>
      <c r="N320" s="364"/>
      <c r="O320" s="364"/>
      <c r="P320" s="364"/>
      <c r="Q320" s="364"/>
      <c r="R320" s="364"/>
      <c r="S320" s="364"/>
      <c r="T320" s="364"/>
      <c r="U320" s="365"/>
      <c r="V320" s="361"/>
      <c r="W320" s="366"/>
      <c r="X320" s="366"/>
    </row>
    <row r="321" spans="1:22" ht="36" customHeight="1" thickTop="1" thickBot="1"/>
    <row r="322" spans="1:22" ht="18.75" customHeight="1" thickTop="1" thickBot="1">
      <c r="A322" s="370">
        <v>1</v>
      </c>
      <c r="B322" s="361" t="s">
        <v>1339</v>
      </c>
      <c r="C322" s="362"/>
      <c r="D322" s="362"/>
      <c r="E322" s="370"/>
      <c r="F322" s="362"/>
      <c r="G322" s="362"/>
      <c r="H322" s="362"/>
      <c r="I322" s="362"/>
      <c r="J322" s="363" t="s">
        <v>1796</v>
      </c>
      <c r="K322" s="364"/>
      <c r="L322" s="364"/>
      <c r="M322" s="364"/>
      <c r="N322" s="364"/>
      <c r="O322" s="364"/>
      <c r="P322" s="364"/>
      <c r="Q322" s="364"/>
      <c r="R322" s="364"/>
      <c r="S322" s="364"/>
      <c r="T322" s="364"/>
      <c r="U322" s="364"/>
      <c r="V322" s="364"/>
    </row>
    <row r="323" spans="1:22" ht="18.75" customHeight="1" thickTop="1" thickBot="1">
      <c r="A323" s="370">
        <v>1</v>
      </c>
      <c r="B323" s="361" t="s">
        <v>1339</v>
      </c>
      <c r="C323" s="362" t="s">
        <v>1326</v>
      </c>
      <c r="D323" s="362"/>
      <c r="E323" s="370"/>
      <c r="F323" s="362"/>
      <c r="G323" s="362"/>
      <c r="H323" s="362"/>
      <c r="I323" s="362"/>
      <c r="J323" s="363" t="s">
        <v>1797</v>
      </c>
      <c r="K323" s="364"/>
      <c r="L323" s="364"/>
      <c r="M323" s="364"/>
      <c r="N323" s="364"/>
      <c r="O323" s="364"/>
      <c r="P323" s="364"/>
      <c r="Q323" s="364"/>
      <c r="R323" s="364"/>
      <c r="S323" s="364"/>
      <c r="T323" s="364"/>
      <c r="U323" s="364"/>
      <c r="V323" s="364"/>
    </row>
    <row r="324" spans="1:22" ht="18.75" customHeight="1" thickTop="1" thickBot="1">
      <c r="A324" s="370">
        <v>1</v>
      </c>
      <c r="B324" s="361" t="s">
        <v>1339</v>
      </c>
      <c r="C324" s="362" t="s">
        <v>1326</v>
      </c>
      <c r="D324" s="362" t="s">
        <v>1326</v>
      </c>
      <c r="E324" s="362"/>
      <c r="F324" s="362"/>
      <c r="G324" s="362"/>
      <c r="H324" s="362"/>
      <c r="I324" s="362"/>
      <c r="J324" s="367" t="s">
        <v>1485</v>
      </c>
      <c r="K324" s="364"/>
      <c r="L324" s="364"/>
      <c r="M324" s="364"/>
      <c r="N324" s="364"/>
      <c r="O324" s="364"/>
      <c r="P324" s="364"/>
      <c r="Q324" s="364"/>
      <c r="R324" s="364"/>
      <c r="S324" s="364"/>
      <c r="T324" s="364"/>
      <c r="U324" s="364"/>
      <c r="V324" s="364"/>
    </row>
    <row r="325" spans="1:22" ht="18.75" customHeight="1" thickTop="1" thickBot="1">
      <c r="A325" s="370">
        <v>1</v>
      </c>
      <c r="B325" s="361" t="s">
        <v>1339</v>
      </c>
      <c r="C325" s="362" t="s">
        <v>1326</v>
      </c>
      <c r="D325" s="362" t="s">
        <v>1339</v>
      </c>
      <c r="E325" s="362"/>
      <c r="F325" s="362"/>
      <c r="G325" s="362"/>
      <c r="H325" s="362"/>
      <c r="I325" s="362"/>
      <c r="J325" s="367" t="s">
        <v>1486</v>
      </c>
      <c r="K325" s="364"/>
      <c r="L325" s="364"/>
      <c r="M325" s="364"/>
      <c r="N325" s="364"/>
      <c r="O325" s="364"/>
      <c r="P325" s="364"/>
      <c r="Q325" s="364"/>
      <c r="R325" s="364"/>
      <c r="S325" s="364"/>
      <c r="T325" s="364"/>
      <c r="U325" s="364"/>
      <c r="V325" s="364"/>
    </row>
    <row r="326" spans="1:22" ht="18.75" customHeight="1" thickTop="1" thickBot="1">
      <c r="A326" s="370">
        <v>1</v>
      </c>
      <c r="B326" s="361" t="s">
        <v>1339</v>
      </c>
      <c r="C326" s="362" t="s">
        <v>1326</v>
      </c>
      <c r="D326" s="362" t="s">
        <v>1363</v>
      </c>
      <c r="E326" s="362"/>
      <c r="F326" s="362"/>
      <c r="G326" s="362"/>
      <c r="H326" s="362"/>
      <c r="I326" s="362"/>
      <c r="J326" s="367" t="s">
        <v>1487</v>
      </c>
      <c r="K326" s="364"/>
      <c r="L326" s="364"/>
      <c r="M326" s="364"/>
      <c r="N326" s="364"/>
      <c r="O326" s="364"/>
      <c r="P326" s="364"/>
      <c r="Q326" s="364"/>
      <c r="R326" s="364"/>
      <c r="S326" s="364"/>
      <c r="T326" s="364"/>
      <c r="U326" s="364"/>
      <c r="V326" s="364"/>
    </row>
    <row r="327" spans="1:22" ht="18.75" customHeight="1" thickTop="1" thickBot="1">
      <c r="A327" s="370">
        <v>1</v>
      </c>
      <c r="B327" s="361" t="s">
        <v>1339</v>
      </c>
      <c r="C327" s="362" t="s">
        <v>1339</v>
      </c>
      <c r="D327" s="362"/>
      <c r="E327" s="370"/>
      <c r="F327" s="362"/>
      <c r="G327" s="362"/>
      <c r="H327" s="362"/>
      <c r="I327" s="362"/>
      <c r="J327" s="363" t="s">
        <v>1798</v>
      </c>
      <c r="K327" s="364"/>
      <c r="L327" s="364"/>
      <c r="M327" s="364"/>
      <c r="N327" s="364"/>
      <c r="O327" s="364"/>
      <c r="P327" s="364"/>
      <c r="Q327" s="364"/>
      <c r="R327" s="364"/>
      <c r="S327" s="364"/>
      <c r="T327" s="364"/>
      <c r="U327" s="364"/>
      <c r="V327" s="364"/>
    </row>
    <row r="328" spans="1:22" ht="18.75" customHeight="1" thickTop="1" thickBot="1">
      <c r="A328" s="370">
        <v>1</v>
      </c>
      <c r="B328" s="361" t="s">
        <v>1363</v>
      </c>
      <c r="C328" s="362"/>
      <c r="D328" s="362"/>
      <c r="E328" s="370"/>
      <c r="F328" s="362"/>
      <c r="G328" s="362"/>
      <c r="H328" s="362"/>
      <c r="I328" s="362"/>
      <c r="J328" s="363" t="s">
        <v>1718</v>
      </c>
      <c r="K328" s="364"/>
      <c r="L328" s="364"/>
      <c r="M328" s="364"/>
      <c r="N328" s="364"/>
      <c r="O328" s="364"/>
      <c r="P328" s="364"/>
      <c r="Q328" s="364"/>
      <c r="R328" s="364"/>
      <c r="S328" s="364"/>
      <c r="T328" s="364"/>
      <c r="U328" s="364"/>
      <c r="V328" s="364"/>
    </row>
    <row r="329" spans="1:22" ht="18.75" customHeight="1" thickTop="1" thickBot="1">
      <c r="A329" s="370">
        <v>1</v>
      </c>
      <c r="B329" s="361" t="s">
        <v>1363</v>
      </c>
      <c r="C329" s="362" t="s">
        <v>1326</v>
      </c>
      <c r="D329" s="362"/>
      <c r="E329" s="370"/>
      <c r="F329" s="362"/>
      <c r="G329" s="362"/>
      <c r="H329" s="362"/>
      <c r="I329" s="362"/>
      <c r="J329" s="363" t="s">
        <v>1488</v>
      </c>
      <c r="K329" s="364"/>
      <c r="L329" s="364"/>
      <c r="M329" s="364"/>
      <c r="N329" s="364"/>
      <c r="O329" s="364"/>
      <c r="P329" s="364"/>
      <c r="Q329" s="364"/>
      <c r="R329" s="364"/>
      <c r="S329" s="364"/>
      <c r="T329" s="364"/>
      <c r="U329" s="364"/>
      <c r="V329" s="364"/>
    </row>
    <row r="330" spans="1:22" ht="18.75" customHeight="1" thickTop="1" thickBot="1">
      <c r="A330" s="370">
        <v>1</v>
      </c>
      <c r="B330" s="361" t="s">
        <v>1363</v>
      </c>
      <c r="C330" s="362" t="s">
        <v>1326</v>
      </c>
      <c r="D330" s="362" t="s">
        <v>1326</v>
      </c>
      <c r="E330" s="362"/>
      <c r="F330" s="362"/>
      <c r="G330" s="362"/>
      <c r="H330" s="362"/>
      <c r="I330" s="362"/>
      <c r="J330" s="367" t="s">
        <v>1489</v>
      </c>
      <c r="K330" s="364"/>
      <c r="L330" s="364"/>
      <c r="M330" s="364"/>
      <c r="N330" s="364"/>
      <c r="O330" s="364"/>
      <c r="P330" s="364"/>
      <c r="Q330" s="364"/>
      <c r="R330" s="364"/>
      <c r="S330" s="364"/>
      <c r="T330" s="364"/>
      <c r="U330" s="364"/>
      <c r="V330" s="364"/>
    </row>
    <row r="331" spans="1:22" ht="18.75" customHeight="1" thickTop="1" thickBot="1">
      <c r="A331" s="370">
        <v>1</v>
      </c>
      <c r="B331" s="361" t="s">
        <v>1363</v>
      </c>
      <c r="C331" s="362" t="s">
        <v>1326</v>
      </c>
      <c r="D331" s="362" t="s">
        <v>1339</v>
      </c>
      <c r="E331" s="362"/>
      <c r="F331" s="362"/>
      <c r="G331" s="362"/>
      <c r="H331" s="362"/>
      <c r="I331" s="362"/>
      <c r="J331" s="367" t="s">
        <v>1490</v>
      </c>
      <c r="K331" s="364"/>
      <c r="L331" s="364"/>
      <c r="M331" s="364"/>
      <c r="N331" s="364"/>
      <c r="O331" s="364"/>
      <c r="P331" s="364"/>
      <c r="Q331" s="364"/>
      <c r="R331" s="364"/>
      <c r="S331" s="364"/>
      <c r="T331" s="364"/>
      <c r="U331" s="364"/>
      <c r="V331" s="364"/>
    </row>
    <row r="332" spans="1:22" ht="18.75" customHeight="1" thickTop="1" thickBot="1">
      <c r="A332" s="370">
        <v>1</v>
      </c>
      <c r="B332" s="361" t="s">
        <v>1363</v>
      </c>
      <c r="C332" s="362" t="s">
        <v>1326</v>
      </c>
      <c r="D332" s="362" t="s">
        <v>1363</v>
      </c>
      <c r="E332" s="362"/>
      <c r="F332" s="362"/>
      <c r="G332" s="362"/>
      <c r="H332" s="362"/>
      <c r="I332" s="362"/>
      <c r="J332" s="367" t="s">
        <v>1491</v>
      </c>
      <c r="K332" s="364"/>
      <c r="L332" s="364"/>
      <c r="M332" s="364"/>
      <c r="N332" s="364"/>
      <c r="O332" s="364"/>
      <c r="P332" s="364"/>
      <c r="Q332" s="364"/>
      <c r="R332" s="364"/>
      <c r="S332" s="364"/>
      <c r="T332" s="364"/>
      <c r="U332" s="364"/>
      <c r="V332" s="364"/>
    </row>
    <row r="333" spans="1:22" ht="18.75" customHeight="1" thickTop="1" thickBot="1">
      <c r="A333" s="370">
        <v>1</v>
      </c>
      <c r="B333" s="361" t="s">
        <v>1363</v>
      </c>
      <c r="C333" s="362" t="s">
        <v>1339</v>
      </c>
      <c r="D333" s="362"/>
      <c r="E333" s="370"/>
      <c r="F333" s="362"/>
      <c r="G333" s="362"/>
      <c r="H333" s="362"/>
      <c r="I333" s="362"/>
      <c r="J333" s="363" t="s">
        <v>1492</v>
      </c>
      <c r="K333" s="364"/>
      <c r="L333" s="364"/>
      <c r="M333" s="364"/>
      <c r="N333" s="364"/>
      <c r="O333" s="364"/>
      <c r="P333" s="364"/>
      <c r="Q333" s="364"/>
      <c r="R333" s="364"/>
      <c r="S333" s="364"/>
      <c r="T333" s="364"/>
      <c r="U333" s="364"/>
      <c r="V333" s="364"/>
    </row>
    <row r="334" spans="1:22" ht="18.75" customHeight="1" thickTop="1" thickBot="1">
      <c r="A334" s="370">
        <v>1</v>
      </c>
      <c r="B334" s="361" t="s">
        <v>1367</v>
      </c>
      <c r="C334" s="362"/>
      <c r="D334" s="362"/>
      <c r="E334" s="370"/>
      <c r="F334" s="362"/>
      <c r="G334" s="362"/>
      <c r="H334" s="362"/>
      <c r="I334" s="362"/>
      <c r="J334" s="363" t="s">
        <v>1493</v>
      </c>
      <c r="K334" s="364"/>
      <c r="L334" s="364"/>
      <c r="M334" s="364"/>
      <c r="N334" s="364"/>
      <c r="O334" s="364"/>
      <c r="P334" s="364"/>
      <c r="Q334" s="364"/>
      <c r="R334" s="364"/>
      <c r="S334" s="364"/>
      <c r="T334" s="364"/>
      <c r="U334" s="364"/>
      <c r="V334" s="364"/>
    </row>
    <row r="335" spans="1:22" ht="18.75" customHeight="1" thickTop="1" thickBot="1">
      <c r="A335" s="370" t="s">
        <v>1322</v>
      </c>
      <c r="B335" s="361" t="s">
        <v>1392</v>
      </c>
      <c r="C335" s="362"/>
      <c r="D335" s="362"/>
      <c r="E335" s="370"/>
      <c r="F335" s="362"/>
      <c r="G335" s="362"/>
      <c r="H335" s="362"/>
      <c r="I335" s="362"/>
      <c r="J335" s="427" t="s">
        <v>1494</v>
      </c>
      <c r="K335" s="364"/>
      <c r="L335" s="364"/>
      <c r="M335" s="364"/>
      <c r="N335" s="364"/>
      <c r="O335" s="364"/>
      <c r="P335" s="364"/>
      <c r="Q335" s="364"/>
      <c r="R335" s="364"/>
      <c r="S335" s="364"/>
      <c r="T335" s="364"/>
      <c r="U335" s="364"/>
      <c r="V335" s="364"/>
    </row>
    <row r="336" spans="1:22" ht="18.75" customHeight="1" thickTop="1" thickBot="1">
      <c r="A336" s="370" t="s">
        <v>1322</v>
      </c>
      <c r="B336" s="361" t="s">
        <v>1392</v>
      </c>
      <c r="C336" s="362" t="s">
        <v>1326</v>
      </c>
      <c r="D336" s="362"/>
      <c r="E336" s="370"/>
      <c r="F336" s="362"/>
      <c r="G336" s="362"/>
      <c r="H336" s="362"/>
      <c r="I336" s="362"/>
      <c r="J336" s="427" t="s">
        <v>1495</v>
      </c>
      <c r="K336" s="364"/>
      <c r="L336" s="364"/>
      <c r="M336" s="364"/>
      <c r="N336" s="364"/>
      <c r="O336" s="364"/>
      <c r="P336" s="364"/>
      <c r="Q336" s="364"/>
      <c r="R336" s="364"/>
      <c r="S336" s="364"/>
      <c r="T336" s="364"/>
      <c r="U336" s="364"/>
      <c r="V336" s="364"/>
    </row>
    <row r="337" spans="1:22" ht="18.75" customHeight="1" thickTop="1" thickBot="1">
      <c r="A337" s="370" t="s">
        <v>1322</v>
      </c>
      <c r="B337" s="361" t="s">
        <v>1392</v>
      </c>
      <c r="C337" s="362" t="s">
        <v>1326</v>
      </c>
      <c r="D337" s="362" t="s">
        <v>1326</v>
      </c>
      <c r="E337" s="362"/>
      <c r="F337" s="362"/>
      <c r="G337" s="362"/>
      <c r="H337" s="362"/>
      <c r="I337" s="362"/>
      <c r="J337" s="367" t="s">
        <v>1799</v>
      </c>
      <c r="K337" s="364"/>
      <c r="L337" s="364"/>
      <c r="M337" s="364"/>
      <c r="N337" s="364"/>
      <c r="O337" s="364"/>
      <c r="P337" s="364"/>
      <c r="Q337" s="364"/>
      <c r="R337" s="364"/>
      <c r="S337" s="364"/>
      <c r="T337" s="364"/>
      <c r="U337" s="364"/>
      <c r="V337" s="364"/>
    </row>
    <row r="338" spans="1:22" ht="18.75" customHeight="1" thickTop="1" thickBot="1">
      <c r="A338" s="370" t="s">
        <v>1322</v>
      </c>
      <c r="B338" s="361" t="s">
        <v>1392</v>
      </c>
      <c r="C338" s="362" t="s">
        <v>1326</v>
      </c>
      <c r="D338" s="362" t="s">
        <v>1339</v>
      </c>
      <c r="E338" s="362"/>
      <c r="F338" s="362"/>
      <c r="G338" s="362"/>
      <c r="H338" s="362"/>
      <c r="I338" s="362"/>
      <c r="J338" s="367" t="s">
        <v>1800</v>
      </c>
      <c r="K338" s="364"/>
      <c r="L338" s="364"/>
      <c r="M338" s="364"/>
      <c r="N338" s="364"/>
      <c r="O338" s="364"/>
      <c r="P338" s="364"/>
      <c r="Q338" s="364"/>
      <c r="R338" s="364"/>
      <c r="S338" s="364"/>
      <c r="T338" s="364"/>
      <c r="U338" s="364"/>
      <c r="V338" s="364"/>
    </row>
    <row r="339" spans="1:22" ht="18.75" customHeight="1" thickTop="1" thickBot="1">
      <c r="A339" s="370" t="s">
        <v>1322</v>
      </c>
      <c r="B339" s="361" t="s">
        <v>1392</v>
      </c>
      <c r="C339" s="362" t="s">
        <v>1326</v>
      </c>
      <c r="D339" s="362" t="s">
        <v>1363</v>
      </c>
      <c r="E339" s="362"/>
      <c r="F339" s="362"/>
      <c r="G339" s="362"/>
      <c r="H339" s="362"/>
      <c r="I339" s="362"/>
      <c r="J339" s="367" t="s">
        <v>1801</v>
      </c>
      <c r="K339" s="364"/>
      <c r="L339" s="364"/>
      <c r="M339" s="364"/>
      <c r="N339" s="364"/>
      <c r="O339" s="364"/>
      <c r="P339" s="364"/>
      <c r="Q339" s="364"/>
      <c r="R339" s="364"/>
      <c r="S339" s="364"/>
      <c r="T339" s="364"/>
      <c r="U339" s="364"/>
      <c r="V339" s="364"/>
    </row>
    <row r="340" spans="1:22" ht="18.75" customHeight="1" thickTop="1" thickBot="1">
      <c r="A340" s="370" t="s">
        <v>1322</v>
      </c>
      <c r="B340" s="361" t="s">
        <v>1392</v>
      </c>
      <c r="C340" s="362" t="s">
        <v>1339</v>
      </c>
      <c r="D340" s="362"/>
      <c r="E340" s="370"/>
      <c r="F340" s="362"/>
      <c r="G340" s="362"/>
      <c r="H340" s="362"/>
      <c r="I340" s="362"/>
      <c r="J340" s="428" t="s">
        <v>1496</v>
      </c>
      <c r="K340" s="364"/>
      <c r="L340" s="364"/>
      <c r="M340" s="364"/>
      <c r="N340" s="364"/>
      <c r="O340" s="364"/>
      <c r="P340" s="364"/>
      <c r="Q340" s="364"/>
      <c r="R340" s="364"/>
      <c r="S340" s="364"/>
      <c r="T340" s="364"/>
      <c r="U340" s="364"/>
      <c r="V340" s="364"/>
    </row>
    <row r="341" spans="1:22" ht="18.75" customHeight="1" thickTop="1" thickBot="1">
      <c r="A341" s="370" t="s">
        <v>1322</v>
      </c>
      <c r="B341" s="361" t="s">
        <v>1392</v>
      </c>
      <c r="C341" s="362" t="s">
        <v>1363</v>
      </c>
      <c r="D341" s="362"/>
      <c r="E341" s="370"/>
      <c r="F341" s="362"/>
      <c r="G341" s="362"/>
      <c r="H341" s="362"/>
      <c r="I341" s="362"/>
      <c r="J341" s="428" t="s">
        <v>1497</v>
      </c>
      <c r="K341" s="364"/>
      <c r="L341" s="364"/>
      <c r="M341" s="364"/>
      <c r="N341" s="364"/>
      <c r="O341" s="364"/>
      <c r="P341" s="364"/>
      <c r="Q341" s="364"/>
      <c r="R341" s="364"/>
      <c r="S341" s="364"/>
      <c r="T341" s="364"/>
      <c r="U341" s="364"/>
      <c r="V341" s="364"/>
    </row>
    <row r="342" spans="1:22" ht="36" customHeight="1" thickTop="1" thickBot="1">
      <c r="A342" s="370"/>
      <c r="B342" s="361"/>
    </row>
    <row r="343" spans="1:22" ht="36" customHeight="1" thickTop="1"/>
  </sheetData>
  <mergeCells count="16">
    <mergeCell ref="U5:U6"/>
    <mergeCell ref="V5:V6"/>
    <mergeCell ref="W5:W6"/>
    <mergeCell ref="X5:X6"/>
    <mergeCell ref="A1:V1"/>
    <mergeCell ref="A2:V2"/>
    <mergeCell ref="A3:V3"/>
    <mergeCell ref="A4:V4"/>
    <mergeCell ref="A5:I5"/>
    <mergeCell ref="J5:J6"/>
    <mergeCell ref="K5:K6"/>
    <mergeCell ref="L5:M5"/>
    <mergeCell ref="N5:N6"/>
    <mergeCell ref="O5:R5"/>
    <mergeCell ref="S5:S6"/>
    <mergeCell ref="T5:T6"/>
  </mergeCells>
  <phoneticPr fontId="43" type="noConversion"/>
  <printOptions horizontalCentered="1" verticalCentered="1"/>
  <pageMargins left="0.78740157480314965" right="0.78740157480314965" top="0.98425196850393704" bottom="0.98425196850393704" header="0" footer="0"/>
  <pageSetup paperSize="9"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3"/>
  <dimension ref="A1:U172"/>
  <sheetViews>
    <sheetView showGridLines="0" topLeftCell="A7" zoomScale="98" zoomScaleNormal="98" workbookViewId="0">
      <selection activeCell="E13" sqref="E13:R13"/>
    </sheetView>
  </sheetViews>
  <sheetFormatPr baseColWidth="10" defaultRowHeight="14.4"/>
  <cols>
    <col min="1" max="1" width="1.88671875" customWidth="1"/>
    <col min="2" max="2" width="10.88671875" customWidth="1"/>
    <col min="3" max="3" width="5" style="66" bestFit="1" customWidth="1"/>
    <col min="4" max="4" width="34.88671875" customWidth="1"/>
    <col min="5" max="5" width="13.44140625" customWidth="1"/>
    <col min="6" max="6" width="8.88671875" customWidth="1"/>
    <col min="7" max="7" width="13.109375" customWidth="1"/>
    <col min="8" max="8" width="14" customWidth="1"/>
    <col min="9" max="9" width="13.33203125" customWidth="1"/>
    <col min="10" max="10" width="12.33203125" customWidth="1"/>
    <col min="11" max="11" width="14.6640625" customWidth="1"/>
    <col min="12" max="12" width="23.6640625" customWidth="1"/>
    <col min="13" max="13" width="10.44140625" customWidth="1"/>
    <col min="14" max="14" width="9.44140625" customWidth="1"/>
    <col min="15" max="15" width="9.5546875" customWidth="1"/>
    <col min="16" max="16" width="8.44140625" customWidth="1"/>
  </cols>
  <sheetData>
    <row r="1" spans="1:21" s="314" customFormat="1" ht="100.5" customHeight="1" thickBot="1">
      <c r="A1" s="1421"/>
      <c r="B1" s="1422"/>
      <c r="C1" s="1422"/>
      <c r="D1" s="1422"/>
      <c r="E1" s="1422"/>
      <c r="F1" s="1422"/>
      <c r="G1" s="1422"/>
      <c r="H1" s="1422"/>
      <c r="I1" s="1422"/>
      <c r="J1" s="1422"/>
      <c r="K1" s="1422"/>
      <c r="L1" s="1422"/>
      <c r="M1" s="1422"/>
      <c r="N1" s="1422"/>
      <c r="O1" s="1422"/>
      <c r="P1" s="1423"/>
      <c r="Q1"/>
      <c r="R1"/>
    </row>
    <row r="2" spans="1:21" s="315" customFormat="1" ht="16.2" thickBot="1">
      <c r="A2" s="1418" t="str">
        <f>+'Datos Generales'!C5</f>
        <v>Corporación Autónoma Regional del Atlántico – CRA</v>
      </c>
      <c r="B2" s="1419"/>
      <c r="C2" s="1419"/>
      <c r="D2" s="1419"/>
      <c r="E2" s="1419"/>
      <c r="F2" s="1419"/>
      <c r="G2" s="1419"/>
      <c r="H2" s="1419"/>
      <c r="I2" s="1419"/>
      <c r="J2" s="1419"/>
      <c r="K2" s="1419"/>
      <c r="L2" s="1419"/>
      <c r="M2" s="1419"/>
      <c r="N2" s="1419"/>
      <c r="O2" s="1419"/>
      <c r="P2" s="1420"/>
      <c r="Q2"/>
      <c r="R2"/>
    </row>
    <row r="3" spans="1:21" s="315" customFormat="1" ht="16.2" thickBot="1">
      <c r="A3" s="1426" t="s">
        <v>1295</v>
      </c>
      <c r="B3" s="1427"/>
      <c r="C3" s="1427"/>
      <c r="D3" s="1427"/>
      <c r="E3" s="1427"/>
      <c r="F3" s="1427"/>
      <c r="G3" s="1427"/>
      <c r="H3" s="1427"/>
      <c r="I3" s="1427"/>
      <c r="J3" s="1427"/>
      <c r="K3" s="1427"/>
      <c r="L3" s="1427"/>
      <c r="M3" s="1427"/>
      <c r="N3" s="1427"/>
      <c r="O3" s="1427"/>
      <c r="P3" s="1428"/>
      <c r="Q3"/>
      <c r="R3"/>
    </row>
    <row r="4" spans="1:21" s="315" customFormat="1" ht="16.2" thickBot="1">
      <c r="A4" s="1424" t="s">
        <v>1294</v>
      </c>
      <c r="B4" s="1425"/>
      <c r="C4" s="1425"/>
      <c r="D4" s="1425"/>
      <c r="E4" s="322" t="str">
        <f>+'Datos Generales'!C6</f>
        <v>2023-II</v>
      </c>
      <c r="F4" s="322"/>
      <c r="G4" s="322"/>
      <c r="H4" s="322"/>
      <c r="I4" s="322"/>
      <c r="J4" s="322"/>
      <c r="K4" s="322"/>
      <c r="L4" s="323"/>
      <c r="M4" s="323"/>
      <c r="N4" s="323"/>
      <c r="O4" s="323"/>
      <c r="P4" s="324"/>
      <c r="Q4"/>
      <c r="R4"/>
    </row>
    <row r="5" spans="1:21" ht="16.5" customHeight="1" thickBot="1">
      <c r="A5" s="1426" t="s">
        <v>479</v>
      </c>
      <c r="B5" s="1427"/>
      <c r="C5" s="1427"/>
      <c r="D5" s="1427"/>
      <c r="E5" s="1427"/>
      <c r="F5" s="1427"/>
      <c r="G5" s="1427"/>
      <c r="H5" s="1427"/>
      <c r="I5" s="1427"/>
      <c r="J5" s="1427"/>
      <c r="K5" s="1427"/>
      <c r="L5" s="1427"/>
      <c r="M5" s="1427"/>
      <c r="N5" s="1427"/>
      <c r="O5" s="1427"/>
      <c r="P5" s="1428"/>
    </row>
    <row r="6" spans="1:21">
      <c r="B6" s="1" t="s">
        <v>1</v>
      </c>
      <c r="C6" s="64"/>
      <c r="D6" s="5"/>
      <c r="E6" s="62"/>
      <c r="F6" s="5" t="s">
        <v>127</v>
      </c>
      <c r="G6" s="5"/>
      <c r="H6" s="5"/>
      <c r="I6" s="5"/>
      <c r="J6" s="5"/>
      <c r="K6" s="5"/>
    </row>
    <row r="7" spans="1:21" ht="15" thickBot="1">
      <c r="B7" s="63"/>
      <c r="C7" s="65"/>
      <c r="D7" s="5"/>
      <c r="E7" s="14"/>
      <c r="F7" s="5" t="s">
        <v>128</v>
      </c>
      <c r="G7" s="5"/>
      <c r="H7" s="5"/>
      <c r="I7" s="5"/>
      <c r="J7" s="5"/>
      <c r="K7" s="5"/>
    </row>
    <row r="8" spans="1:21" ht="15" thickBot="1">
      <c r="B8" s="143" t="s">
        <v>1180</v>
      </c>
      <c r="C8" s="571">
        <v>2023</v>
      </c>
      <c r="D8" s="171">
        <v>1</v>
      </c>
      <c r="E8" s="168"/>
      <c r="F8" s="5" t="s">
        <v>129</v>
      </c>
      <c r="G8" s="5"/>
      <c r="H8" s="5"/>
      <c r="I8" s="5"/>
      <c r="J8" s="5"/>
      <c r="K8" s="5"/>
    </row>
    <row r="9" spans="1:21">
      <c r="B9" s="300" t="s">
        <v>1181</v>
      </c>
      <c r="D9" s="5"/>
      <c r="E9" s="5"/>
      <c r="F9" s="5"/>
      <c r="G9" s="5"/>
      <c r="H9" s="5"/>
      <c r="I9" s="5"/>
      <c r="J9" s="5"/>
      <c r="K9" s="5"/>
    </row>
    <row r="10" spans="1:21">
      <c r="B10" s="1429" t="s">
        <v>1236</v>
      </c>
      <c r="C10" s="1429"/>
      <c r="D10" s="1429"/>
      <c r="E10" s="303" t="s">
        <v>1233</v>
      </c>
      <c r="F10" s="1436"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437"/>
      <c r="H10" s="1437"/>
      <c r="I10" s="1437"/>
      <c r="J10" s="1437"/>
      <c r="K10" s="1437"/>
      <c r="L10" s="1437"/>
      <c r="M10" s="1437"/>
      <c r="N10" s="1437"/>
      <c r="O10" s="1437"/>
      <c r="P10" s="1437"/>
      <c r="Q10" s="1437"/>
      <c r="R10" s="1437"/>
      <c r="S10" s="1437"/>
      <c r="T10" s="5"/>
      <c r="U10" s="5"/>
    </row>
    <row r="11" spans="1:21" ht="14.4" customHeight="1">
      <c r="B11" s="302"/>
      <c r="C11" s="67"/>
      <c r="D11" s="144" t="str">
        <f>IF(E10="SI APLICA","¿El indicador no se reporta por limitaciones de información disponible? ","")</f>
        <v xml:space="preserve">¿El indicador no se reporta por limitaciones de información disponible? </v>
      </c>
      <c r="E11" s="304" t="s">
        <v>1235</v>
      </c>
      <c r="F11" s="1430"/>
      <c r="G11" s="1431"/>
      <c r="H11" s="1431"/>
      <c r="I11" s="1431"/>
      <c r="J11" s="1431"/>
      <c r="K11" s="1431"/>
      <c r="L11" s="1431"/>
      <c r="M11" s="1431"/>
      <c r="N11" s="1431"/>
      <c r="O11" s="1431"/>
      <c r="P11" s="1431"/>
      <c r="Q11" s="1431"/>
      <c r="R11" s="1431"/>
      <c r="S11" s="1431"/>
    </row>
    <row r="12" spans="1:21" ht="23.4" customHeight="1">
      <c r="B12" s="300"/>
      <c r="C12" s="67"/>
      <c r="D12" s="144" t="str">
        <f>IF(E11="SI SE REPORTA","¿Qué programas o proyectos del Plan de Acción están asociados al indicador? ","")</f>
        <v xml:space="preserve">¿Qué programas o proyectos del Plan de Acción están asociados al indicador? </v>
      </c>
      <c r="E12" s="1560" t="s">
        <v>1988</v>
      </c>
      <c r="F12" s="1560"/>
      <c r="G12" s="1560"/>
      <c r="H12" s="1560"/>
      <c r="I12" s="1560"/>
      <c r="J12" s="1560"/>
      <c r="K12" s="1560"/>
      <c r="L12" s="1560"/>
      <c r="M12" s="1560"/>
      <c r="N12" s="1560"/>
      <c r="O12" s="1560"/>
      <c r="P12" s="1560"/>
      <c r="Q12" s="1560"/>
      <c r="R12" s="1560"/>
    </row>
    <row r="13" spans="1:21" ht="247.5" customHeight="1">
      <c r="B13" s="300"/>
      <c r="C13" s="67"/>
      <c r="D13" s="144" t="s">
        <v>1238</v>
      </c>
      <c r="E13" s="1433" t="s">
        <v>1936</v>
      </c>
      <c r="F13" s="1434"/>
      <c r="G13" s="1434"/>
      <c r="H13" s="1434"/>
      <c r="I13" s="1434"/>
      <c r="J13" s="1434"/>
      <c r="K13" s="1434"/>
      <c r="L13" s="1434"/>
      <c r="M13" s="1434"/>
      <c r="N13" s="1434"/>
      <c r="O13" s="1434"/>
      <c r="P13" s="1434"/>
      <c r="Q13" s="1434"/>
      <c r="R13" s="1435"/>
    </row>
    <row r="14" spans="1:21" ht="6.9" customHeight="1" thickBot="1">
      <c r="B14" s="300"/>
      <c r="D14" s="5"/>
      <c r="E14" s="5"/>
      <c r="F14" s="5"/>
      <c r="G14" s="5"/>
      <c r="H14" s="5"/>
      <c r="I14" s="5"/>
      <c r="J14" s="5"/>
      <c r="K14" s="5"/>
    </row>
    <row r="15" spans="1:21" ht="15" thickBot="1">
      <c r="B15" s="1640" t="s">
        <v>2</v>
      </c>
      <c r="C15" s="81"/>
      <c r="D15" s="1462" t="s">
        <v>335</v>
      </c>
      <c r="E15" s="1463"/>
      <c r="F15" s="1463"/>
      <c r="G15" s="1463"/>
      <c r="H15" s="1463"/>
      <c r="I15" s="1463"/>
      <c r="J15" s="1463"/>
      <c r="K15" s="1463"/>
      <c r="L15" s="1634"/>
      <c r="M15" s="1634"/>
      <c r="N15" s="1634"/>
      <c r="O15" s="1634"/>
      <c r="P15" s="1606"/>
      <c r="Q15" s="1625" t="s">
        <v>150</v>
      </c>
    </row>
    <row r="16" spans="1:21" ht="15" thickBot="1">
      <c r="B16" s="1641"/>
      <c r="C16" s="87"/>
      <c r="D16" s="1452" t="s">
        <v>149</v>
      </c>
      <c r="E16" s="1630" t="s">
        <v>503</v>
      </c>
      <c r="F16" s="1638"/>
      <c r="G16" s="1638"/>
      <c r="H16" s="1638"/>
      <c r="I16" s="1638"/>
      <c r="J16" s="1639"/>
      <c r="K16" s="1630" t="s">
        <v>504</v>
      </c>
      <c r="L16" s="1631"/>
      <c r="M16" s="1631"/>
      <c r="N16" s="1631"/>
      <c r="O16" s="1631"/>
      <c r="P16" s="1632"/>
      <c r="Q16" s="1626"/>
    </row>
    <row r="17" spans="2:17" ht="15" thickBot="1">
      <c r="B17" s="1641"/>
      <c r="C17" s="87"/>
      <c r="D17" s="1443"/>
      <c r="E17" s="1630" t="s">
        <v>505</v>
      </c>
      <c r="F17" s="1638"/>
      <c r="G17" s="1639"/>
      <c r="H17" s="1630" t="s">
        <v>506</v>
      </c>
      <c r="I17" s="1638"/>
      <c r="J17" s="1639"/>
      <c r="K17" s="1630" t="s">
        <v>505</v>
      </c>
      <c r="L17" s="1631"/>
      <c r="M17" s="1632"/>
      <c r="N17" s="1633" t="s">
        <v>506</v>
      </c>
      <c r="O17" s="1631"/>
      <c r="P17" s="1632"/>
      <c r="Q17" s="1626"/>
    </row>
    <row r="18" spans="2:17" ht="15" thickBot="1">
      <c r="B18" s="1641"/>
      <c r="C18" s="87"/>
      <c r="D18" s="1637"/>
      <c r="E18" s="32" t="s">
        <v>507</v>
      </c>
      <c r="F18" s="32" t="s">
        <v>508</v>
      </c>
      <c r="G18" s="32" t="s">
        <v>509</v>
      </c>
      <c r="H18" s="32" t="s">
        <v>507</v>
      </c>
      <c r="I18" s="32" t="s">
        <v>508</v>
      </c>
      <c r="J18" s="32" t="s">
        <v>509</v>
      </c>
      <c r="K18" s="32" t="s">
        <v>507</v>
      </c>
      <c r="L18" s="12" t="s">
        <v>508</v>
      </c>
      <c r="M18" s="12" t="s">
        <v>509</v>
      </c>
      <c r="N18" s="12" t="s">
        <v>507</v>
      </c>
      <c r="O18" s="12" t="s">
        <v>508</v>
      </c>
      <c r="P18" s="12" t="s">
        <v>509</v>
      </c>
      <c r="Q18" s="1627"/>
    </row>
    <row r="19" spans="2:17" ht="24.6" thickBot="1">
      <c r="B19" s="1641"/>
      <c r="C19" s="87"/>
      <c r="D19" s="32" t="s">
        <v>510</v>
      </c>
      <c r="E19" s="512">
        <v>0</v>
      </c>
      <c r="F19" s="512">
        <v>4</v>
      </c>
      <c r="G19" s="512">
        <v>1</v>
      </c>
      <c r="H19" s="512">
        <v>2</v>
      </c>
      <c r="I19" s="512">
        <v>2</v>
      </c>
      <c r="J19" s="512">
        <v>4</v>
      </c>
      <c r="K19" s="512">
        <v>0</v>
      </c>
      <c r="L19" s="512">
        <v>0</v>
      </c>
      <c r="M19" s="512">
        <v>0</v>
      </c>
      <c r="N19" s="512">
        <v>1</v>
      </c>
      <c r="O19" s="512">
        <v>0</v>
      </c>
      <c r="P19" s="512">
        <v>1</v>
      </c>
      <c r="Q19" s="522">
        <f>SUM(E19:P19)</f>
        <v>15</v>
      </c>
    </row>
    <row r="20" spans="2:17" ht="45.75" customHeight="1" thickBot="1">
      <c r="B20" s="1641"/>
      <c r="C20" s="87"/>
      <c r="D20" s="786" t="s">
        <v>511</v>
      </c>
      <c r="E20" s="512">
        <v>0</v>
      </c>
      <c r="F20" s="512">
        <v>0</v>
      </c>
      <c r="G20" s="512">
        <v>0</v>
      </c>
      <c r="H20" s="512">
        <v>0</v>
      </c>
      <c r="I20" s="512">
        <v>0</v>
      </c>
      <c r="J20" s="512">
        <v>0</v>
      </c>
      <c r="K20" s="512">
        <v>0</v>
      </c>
      <c r="L20" s="512">
        <v>0</v>
      </c>
      <c r="M20" s="512">
        <v>0</v>
      </c>
      <c r="N20" s="512">
        <v>0</v>
      </c>
      <c r="O20" s="512">
        <v>0</v>
      </c>
      <c r="P20" s="512">
        <v>0</v>
      </c>
      <c r="Q20" s="522">
        <f>SUM(E20:P20)</f>
        <v>0</v>
      </c>
    </row>
    <row r="21" spans="2:17" ht="47.25" customHeight="1" thickBot="1">
      <c r="B21" s="1641"/>
      <c r="C21" s="87"/>
      <c r="D21" s="786" t="s">
        <v>512</v>
      </c>
      <c r="E21" s="512">
        <v>0</v>
      </c>
      <c r="F21" s="512">
        <v>0</v>
      </c>
      <c r="G21" s="512">
        <v>0</v>
      </c>
      <c r="H21" s="512">
        <v>0</v>
      </c>
      <c r="I21" s="512">
        <v>0</v>
      </c>
      <c r="J21" s="512">
        <v>0</v>
      </c>
      <c r="K21" s="512">
        <v>0</v>
      </c>
      <c r="L21" s="512">
        <v>0</v>
      </c>
      <c r="M21" s="512">
        <v>0</v>
      </c>
      <c r="N21" s="512">
        <v>0</v>
      </c>
      <c r="O21" s="512">
        <v>0</v>
      </c>
      <c r="P21" s="512">
        <v>0</v>
      </c>
      <c r="Q21" s="522">
        <f>SUM(E21:P21)</f>
        <v>0</v>
      </c>
    </row>
    <row r="22" spans="2:17" ht="24.6" thickBot="1">
      <c r="B22" s="1641"/>
      <c r="C22" s="87"/>
      <c r="D22" s="32" t="s">
        <v>479</v>
      </c>
      <c r="E22" s="120" t="str">
        <f>IFERROR(E21/E20,"N.A.")</f>
        <v>N.A.</v>
      </c>
      <c r="F22" s="120" t="str">
        <f t="shared" ref="F22:P22" si="0">IFERROR(F21/F20,"N.A.")</f>
        <v>N.A.</v>
      </c>
      <c r="G22" s="120" t="str">
        <f t="shared" si="0"/>
        <v>N.A.</v>
      </c>
      <c r="H22" s="120" t="str">
        <f t="shared" si="0"/>
        <v>N.A.</v>
      </c>
      <c r="I22" s="120" t="str">
        <f t="shared" si="0"/>
        <v>N.A.</v>
      </c>
      <c r="J22" s="120" t="str">
        <f t="shared" si="0"/>
        <v>N.A.</v>
      </c>
      <c r="K22" s="120" t="str">
        <f t="shared" si="0"/>
        <v>N.A.</v>
      </c>
      <c r="L22" s="120" t="str">
        <f t="shared" si="0"/>
        <v>N.A.</v>
      </c>
      <c r="M22" s="120" t="str">
        <f t="shared" si="0"/>
        <v>N.A.</v>
      </c>
      <c r="N22" s="120" t="str">
        <f t="shared" si="0"/>
        <v>N.A.</v>
      </c>
      <c r="O22" s="120" t="str">
        <f t="shared" si="0"/>
        <v>N.A.</v>
      </c>
      <c r="P22" s="120" t="str">
        <f t="shared" si="0"/>
        <v>N.A.</v>
      </c>
      <c r="Q22" s="120" t="str">
        <f>IFERROR(Q21/Q20,"N.A.")</f>
        <v>N.A.</v>
      </c>
    </row>
    <row r="23" spans="2:17">
      <c r="B23" s="1641"/>
      <c r="C23" s="82"/>
      <c r="D23" s="1450" t="s">
        <v>513</v>
      </c>
      <c r="E23" s="1451"/>
      <c r="F23" s="1451"/>
      <c r="G23" s="1451"/>
      <c r="H23" s="1451"/>
      <c r="I23" s="1451"/>
      <c r="J23" s="1451"/>
      <c r="K23" s="1451"/>
      <c r="L23" s="1643"/>
      <c r="M23" s="1643"/>
      <c r="N23" s="1643"/>
      <c r="O23" s="1643"/>
      <c r="P23" s="1624"/>
    </row>
    <row r="24" spans="2:17">
      <c r="B24" s="1641"/>
      <c r="C24" s="82"/>
      <c r="D24" s="1441" t="s">
        <v>514</v>
      </c>
      <c r="E24" s="1442"/>
      <c r="F24" s="1442"/>
      <c r="G24" s="1442"/>
      <c r="H24" s="1442"/>
      <c r="I24" s="1442"/>
      <c r="J24" s="1442"/>
      <c r="K24" s="1442"/>
      <c r="L24" s="1636"/>
      <c r="M24" s="1636"/>
      <c r="N24" s="1636"/>
      <c r="O24" s="1636"/>
      <c r="P24" s="1607"/>
    </row>
    <row r="25" spans="2:17">
      <c r="B25" s="1641"/>
      <c r="C25" s="82"/>
      <c r="D25" s="1441" t="s">
        <v>515</v>
      </c>
      <c r="E25" s="1442"/>
      <c r="F25" s="1442"/>
      <c r="G25" s="1442"/>
      <c r="H25" s="1442"/>
      <c r="I25" s="1442"/>
      <c r="J25" s="1442"/>
      <c r="K25" s="1442"/>
      <c r="L25" s="1636"/>
      <c r="M25" s="1636"/>
      <c r="N25" s="1636"/>
      <c r="O25" s="1636"/>
      <c r="P25" s="1607"/>
    </row>
    <row r="26" spans="2:17">
      <c r="B26" s="1641"/>
      <c r="C26" s="82"/>
      <c r="D26" s="1453" t="s">
        <v>245</v>
      </c>
      <c r="E26" s="1454"/>
      <c r="F26" s="1454"/>
      <c r="G26" s="1454"/>
      <c r="H26" s="1454"/>
      <c r="I26" s="1454"/>
      <c r="J26" s="1454"/>
      <c r="K26" s="1454"/>
      <c r="L26" s="1635"/>
      <c r="M26" s="1635"/>
      <c r="N26" s="1635"/>
      <c r="O26" s="1635"/>
      <c r="P26" s="1608"/>
    </row>
    <row r="27" spans="2:17">
      <c r="B27" s="1641"/>
      <c r="C27" s="82"/>
      <c r="D27" s="1453" t="s">
        <v>516</v>
      </c>
      <c r="E27" s="1454"/>
      <c r="F27" s="1454"/>
      <c r="G27" s="1454"/>
      <c r="H27" s="1454"/>
      <c r="I27" s="1454"/>
      <c r="J27" s="1454"/>
      <c r="K27" s="1454"/>
      <c r="L27" s="1635"/>
      <c r="M27" s="1635"/>
      <c r="N27" s="1635"/>
      <c r="O27" s="1635"/>
      <c r="P27" s="1608"/>
    </row>
    <row r="28" spans="2:17" ht="15" thickBot="1">
      <c r="B28" s="1641"/>
      <c r="C28" s="82"/>
      <c r="D28" s="1441" t="s">
        <v>339</v>
      </c>
      <c r="E28" s="1442"/>
      <c r="F28" s="1442"/>
      <c r="G28" s="1442"/>
      <c r="H28" s="1442"/>
      <c r="I28" s="1442"/>
      <c r="J28" s="1442"/>
      <c r="K28" s="1442"/>
      <c r="L28" s="1636"/>
      <c r="M28" s="1636"/>
      <c r="N28" s="1636"/>
      <c r="O28" s="1636"/>
      <c r="P28" s="1607"/>
    </row>
    <row r="29" spans="2:17" ht="21" customHeight="1">
      <c r="B29" s="1641"/>
      <c r="C29" s="1562" t="s">
        <v>18</v>
      </c>
      <c r="D29" s="1625" t="s">
        <v>269</v>
      </c>
      <c r="E29" s="1625" t="s">
        <v>517</v>
      </c>
      <c r="F29" s="1625" t="s">
        <v>518</v>
      </c>
      <c r="G29" s="1625" t="s">
        <v>519</v>
      </c>
      <c r="H29" s="156" t="s">
        <v>472</v>
      </c>
      <c r="I29" s="156" t="s">
        <v>474</v>
      </c>
      <c r="J29" s="1625" t="s">
        <v>273</v>
      </c>
      <c r="K29" s="1625" t="s">
        <v>274</v>
      </c>
      <c r="L29" s="1625" t="s">
        <v>54</v>
      </c>
      <c r="P29" s="10"/>
    </row>
    <row r="30" spans="2:17" ht="15" thickBot="1">
      <c r="B30" s="1641"/>
      <c r="C30" s="1563"/>
      <c r="D30" s="1627"/>
      <c r="E30" s="1627"/>
      <c r="F30" s="1627"/>
      <c r="G30" s="1627"/>
      <c r="H30" s="157" t="s">
        <v>473</v>
      </c>
      <c r="I30" s="157" t="s">
        <v>475</v>
      </c>
      <c r="J30" s="1627"/>
      <c r="K30" s="1627"/>
      <c r="L30" s="1627"/>
      <c r="P30" s="10"/>
    </row>
    <row r="31" spans="2:17" ht="129.75" customHeight="1" thickBot="1">
      <c r="B31" s="1641"/>
      <c r="C31" s="224"/>
      <c r="D31" s="1644" t="s">
        <v>1844</v>
      </c>
      <c r="E31" s="541" t="s">
        <v>1837</v>
      </c>
      <c r="F31" s="541" t="s">
        <v>1955</v>
      </c>
      <c r="G31" s="852" t="s">
        <v>2033</v>
      </c>
      <c r="H31" s="1648">
        <v>450000000</v>
      </c>
      <c r="I31" s="1648">
        <v>450000000</v>
      </c>
      <c r="J31" s="1648">
        <v>450000001</v>
      </c>
      <c r="K31" s="1650">
        <v>444709893</v>
      </c>
      <c r="L31" s="1646" t="s">
        <v>1989</v>
      </c>
      <c r="P31" s="10"/>
    </row>
    <row r="32" spans="2:17" ht="47.25" customHeight="1" thickBot="1">
      <c r="B32" s="1641"/>
      <c r="C32" s="224"/>
      <c r="D32" s="1645"/>
      <c r="E32" s="541" t="s">
        <v>1837</v>
      </c>
      <c r="F32" s="541" t="s">
        <v>1990</v>
      </c>
      <c r="G32" s="24" t="s">
        <v>2034</v>
      </c>
      <c r="H32" s="1649"/>
      <c r="I32" s="1649"/>
      <c r="J32" s="1649"/>
      <c r="K32" s="1651"/>
      <c r="L32" s="1647"/>
      <c r="P32" s="10"/>
    </row>
    <row r="33" spans="2:16" ht="37.5" customHeight="1" thickBot="1">
      <c r="B33" s="1642"/>
      <c r="C33" s="88"/>
      <c r="D33" s="31" t="s">
        <v>150</v>
      </c>
      <c r="E33" s="22"/>
      <c r="F33" s="22"/>
      <c r="G33" s="22"/>
      <c r="H33" s="853">
        <f>SUM(H31:H32)</f>
        <v>450000000</v>
      </c>
      <c r="I33" s="854">
        <f>SUM(I31:I32)</f>
        <v>450000000</v>
      </c>
      <c r="J33" s="854">
        <f>SUM(J31:J32)</f>
        <v>450000001</v>
      </c>
      <c r="K33" s="854">
        <f>SUM(K31:K32)</f>
        <v>444709893</v>
      </c>
      <c r="L33" s="149"/>
      <c r="M33" s="11"/>
      <c r="N33" s="11"/>
      <c r="P33" s="7"/>
    </row>
    <row r="34" spans="2:16" ht="24" customHeight="1" thickBot="1">
      <c r="B34" s="61" t="s">
        <v>33</v>
      </c>
      <c r="C34" s="86"/>
      <c r="D34" s="1462" t="s">
        <v>520</v>
      </c>
      <c r="E34" s="1463"/>
      <c r="F34" s="1463"/>
      <c r="G34" s="1463"/>
      <c r="H34" s="1463"/>
      <c r="I34" s="1463"/>
      <c r="J34" s="1463"/>
      <c r="K34" s="1463"/>
      <c r="L34" s="1634"/>
      <c r="M34" s="1634"/>
      <c r="N34" s="1634"/>
      <c r="O34" s="1634"/>
      <c r="P34" s="1606"/>
    </row>
    <row r="35" spans="2:16" ht="21" thickBot="1">
      <c r="B35" s="61" t="s">
        <v>35</v>
      </c>
      <c r="C35" s="86"/>
      <c r="D35" s="1462" t="s">
        <v>345</v>
      </c>
      <c r="E35" s="1463"/>
      <c r="F35" s="1463"/>
      <c r="G35" s="1463"/>
      <c r="H35" s="1463"/>
      <c r="I35" s="1463"/>
      <c r="J35" s="1463"/>
      <c r="K35" s="1463"/>
      <c r="L35" s="1634"/>
      <c r="M35" s="1634"/>
      <c r="N35" s="1634"/>
      <c r="O35" s="1634"/>
      <c r="P35" s="1606"/>
    </row>
    <row r="36" spans="2:16" ht="15" thickBot="1">
      <c r="B36" s="1"/>
      <c r="C36" s="64"/>
      <c r="D36" s="5"/>
      <c r="E36" s="5"/>
      <c r="F36" s="5"/>
      <c r="G36" s="5"/>
      <c r="H36" s="5"/>
      <c r="I36" s="5"/>
      <c r="J36" s="5"/>
      <c r="K36" s="5"/>
    </row>
    <row r="37" spans="2:16" ht="24" customHeight="1" thickBot="1">
      <c r="B37" s="1469" t="s">
        <v>37</v>
      </c>
      <c r="C37" s="1470"/>
      <c r="D37" s="1470"/>
      <c r="E37" s="1471"/>
      <c r="F37" s="5"/>
      <c r="G37" s="5"/>
      <c r="H37" s="5"/>
      <c r="I37" s="5"/>
      <c r="J37" s="5"/>
      <c r="K37" s="5"/>
    </row>
    <row r="38" spans="2:16" ht="15" thickBot="1">
      <c r="B38" s="1459">
        <v>1</v>
      </c>
      <c r="C38" s="73"/>
      <c r="D38" s="38" t="s">
        <v>38</v>
      </c>
      <c r="E38" s="25" t="s">
        <v>1814</v>
      </c>
      <c r="F38" s="5"/>
      <c r="G38" s="5"/>
      <c r="H38" s="5"/>
      <c r="I38" s="5"/>
      <c r="J38" s="5"/>
      <c r="K38" s="5"/>
    </row>
    <row r="39" spans="2:16" ht="24.6" thickBot="1">
      <c r="B39" s="1460"/>
      <c r="C39" s="73"/>
      <c r="D39" s="32" t="s">
        <v>39</v>
      </c>
      <c r="E39" s="24" t="s">
        <v>1843</v>
      </c>
      <c r="F39" s="5"/>
      <c r="G39" s="5"/>
      <c r="H39" s="5"/>
      <c r="I39" s="5"/>
      <c r="J39" s="5"/>
      <c r="K39" s="5"/>
    </row>
    <row r="40" spans="2:16" ht="15" thickBot="1">
      <c r="B40" s="1460"/>
      <c r="C40" s="73"/>
      <c r="D40" s="32" t="s">
        <v>40</v>
      </c>
      <c r="E40" s="24" t="s">
        <v>2037</v>
      </c>
      <c r="F40" s="5"/>
      <c r="G40" s="5"/>
      <c r="H40" s="5"/>
      <c r="I40" s="5"/>
      <c r="J40" s="5"/>
      <c r="K40" s="5"/>
    </row>
    <row r="41" spans="2:16" ht="15" thickBot="1">
      <c r="B41" s="1460"/>
      <c r="C41" s="73"/>
      <c r="D41" s="32" t="s">
        <v>41</v>
      </c>
      <c r="E41" s="25" t="s">
        <v>2054</v>
      </c>
      <c r="F41" s="5"/>
      <c r="G41" s="5"/>
      <c r="H41" s="5"/>
      <c r="I41" s="5"/>
      <c r="J41" s="5"/>
      <c r="K41" s="5"/>
    </row>
    <row r="42" spans="2:16" ht="43.8" thickBot="1">
      <c r="B42" s="1460"/>
      <c r="C42" s="73"/>
      <c r="D42" s="32" t="s">
        <v>42</v>
      </c>
      <c r="E42" s="507" t="s">
        <v>1825</v>
      </c>
      <c r="F42" s="5"/>
      <c r="G42" s="5"/>
      <c r="H42" s="5"/>
      <c r="I42" s="5"/>
      <c r="J42" s="5"/>
      <c r="K42" s="5"/>
    </row>
    <row r="43" spans="2:16" ht="15" thickBot="1">
      <c r="B43" s="1460"/>
      <c r="C43" s="73"/>
      <c r="D43" s="32" t="s">
        <v>43</v>
      </c>
      <c r="E43" s="24" t="s">
        <v>1826</v>
      </c>
      <c r="F43" s="5"/>
      <c r="G43" s="5"/>
      <c r="H43" s="5"/>
      <c r="I43" s="5"/>
      <c r="J43" s="5"/>
      <c r="K43" s="5"/>
    </row>
    <row r="44" spans="2:16" ht="24.6" thickBot="1">
      <c r="B44" s="1461"/>
      <c r="C44" s="2"/>
      <c r="D44" s="32" t="s">
        <v>44</v>
      </c>
      <c r="E44" s="24" t="s">
        <v>1817</v>
      </c>
      <c r="F44" s="5"/>
      <c r="G44" s="5"/>
      <c r="H44" s="5"/>
      <c r="I44" s="5"/>
      <c r="J44" s="5"/>
      <c r="K44" s="5"/>
    </row>
    <row r="45" spans="2:16" ht="15" thickBot="1">
      <c r="B45" s="1"/>
      <c r="C45" s="64"/>
      <c r="D45" s="5"/>
      <c r="E45" s="5"/>
      <c r="F45" s="5"/>
      <c r="G45" s="5"/>
      <c r="H45" s="5"/>
      <c r="I45" s="5"/>
      <c r="J45" s="5"/>
      <c r="K45" s="5"/>
    </row>
    <row r="46" spans="2:16" ht="15" thickBot="1">
      <c r="B46" s="1469" t="s">
        <v>45</v>
      </c>
      <c r="C46" s="1470"/>
      <c r="D46" s="1470"/>
      <c r="E46" s="1471"/>
      <c r="F46" s="5"/>
      <c r="G46" s="5"/>
      <c r="H46" s="5"/>
      <c r="I46" s="5"/>
      <c r="J46" s="5"/>
      <c r="K46" s="5"/>
    </row>
    <row r="47" spans="2:16" ht="15" thickBot="1">
      <c r="B47" s="1459">
        <v>1</v>
      </c>
      <c r="C47" s="73"/>
      <c r="D47" s="38" t="s">
        <v>38</v>
      </c>
      <c r="E47" s="177" t="s">
        <v>521</v>
      </c>
      <c r="F47" s="5"/>
      <c r="G47" s="5"/>
      <c r="H47" s="5"/>
      <c r="I47" s="5"/>
      <c r="J47" s="5"/>
      <c r="K47" s="5"/>
    </row>
    <row r="48" spans="2:16" ht="15" thickBot="1">
      <c r="B48" s="1460"/>
      <c r="C48" s="73"/>
      <c r="D48" s="32" t="s">
        <v>39</v>
      </c>
      <c r="E48" s="177" t="s">
        <v>47</v>
      </c>
      <c r="F48" s="5"/>
      <c r="G48" s="5"/>
      <c r="H48" s="5"/>
      <c r="I48" s="5"/>
      <c r="J48" s="5"/>
      <c r="K48" s="5"/>
    </row>
    <row r="49" spans="2:11" ht="15" thickBot="1">
      <c r="B49" s="1460"/>
      <c r="C49" s="73"/>
      <c r="D49" s="32" t="s">
        <v>40</v>
      </c>
      <c r="E49" s="194"/>
      <c r="F49" s="5"/>
      <c r="G49" s="5"/>
      <c r="H49" s="5"/>
      <c r="I49" s="5"/>
      <c r="J49" s="5"/>
      <c r="K49" s="5"/>
    </row>
    <row r="50" spans="2:11" ht="15" thickBot="1">
      <c r="B50" s="1460"/>
      <c r="C50" s="73"/>
      <c r="D50" s="32" t="s">
        <v>41</v>
      </c>
      <c r="E50" s="194"/>
      <c r="F50" s="5"/>
      <c r="G50" s="5"/>
      <c r="H50" s="5"/>
      <c r="I50" s="5"/>
      <c r="J50" s="5"/>
      <c r="K50" s="5"/>
    </row>
    <row r="51" spans="2:11" ht="15" thickBot="1">
      <c r="B51" s="1460"/>
      <c r="C51" s="73"/>
      <c r="D51" s="32" t="s">
        <v>42</v>
      </c>
      <c r="E51" s="194"/>
      <c r="F51" s="5"/>
      <c r="G51" s="5"/>
      <c r="H51" s="5"/>
      <c r="I51" s="5"/>
      <c r="J51" s="5"/>
      <c r="K51" s="5"/>
    </row>
    <row r="52" spans="2:11" ht="15" thickBot="1">
      <c r="B52" s="1460"/>
      <c r="C52" s="73"/>
      <c r="D52" s="32" t="s">
        <v>43</v>
      </c>
      <c r="E52" s="194"/>
      <c r="F52" s="5"/>
      <c r="G52" s="5"/>
      <c r="H52" s="5"/>
      <c r="I52" s="5"/>
      <c r="J52" s="5"/>
      <c r="K52" s="5"/>
    </row>
    <row r="53" spans="2:11" ht="15" thickBot="1">
      <c r="B53" s="1461"/>
      <c r="C53" s="2"/>
      <c r="D53" s="32" t="s">
        <v>44</v>
      </c>
      <c r="E53" s="194"/>
      <c r="F53" s="5"/>
      <c r="G53" s="5"/>
      <c r="H53" s="5"/>
      <c r="I53" s="5"/>
      <c r="J53" s="5"/>
      <c r="K53" s="5"/>
    </row>
    <row r="54" spans="2:11">
      <c r="B54" s="1"/>
      <c r="C54" s="64"/>
      <c r="D54" s="5"/>
      <c r="E54" s="5"/>
      <c r="F54" s="5"/>
      <c r="G54" s="5"/>
      <c r="H54" s="5"/>
      <c r="I54" s="5"/>
      <c r="J54" s="5"/>
      <c r="K54" s="5"/>
    </row>
    <row r="55" spans="2:11" ht="15" thickBot="1">
      <c r="B55" s="1"/>
      <c r="C55" s="64"/>
      <c r="D55" s="5"/>
      <c r="E55" s="5"/>
      <c r="F55" s="5"/>
      <c r="G55" s="5"/>
      <c r="H55" s="5"/>
      <c r="I55" s="5"/>
      <c r="J55" s="5"/>
      <c r="K55" s="5"/>
    </row>
    <row r="56" spans="2:11" ht="15" thickBot="1">
      <c r="B56" s="1469" t="s">
        <v>48</v>
      </c>
      <c r="C56" s="1470"/>
      <c r="D56" s="1470"/>
      <c r="E56" s="1470"/>
      <c r="F56" s="1471"/>
      <c r="G56" s="5"/>
      <c r="H56" s="5"/>
      <c r="I56" s="5"/>
      <c r="J56" s="5"/>
      <c r="K56" s="5"/>
    </row>
    <row r="57" spans="2:11" ht="24.6" thickBot="1">
      <c r="B57" s="37" t="s">
        <v>49</v>
      </c>
      <c r="C57" s="32" t="s">
        <v>50</v>
      </c>
      <c r="D57" s="32" t="s">
        <v>51</v>
      </c>
      <c r="E57" s="32" t="s">
        <v>52</v>
      </c>
      <c r="F57" s="5"/>
      <c r="G57" s="5"/>
      <c r="H57" s="5"/>
      <c r="I57" s="5"/>
      <c r="J57" s="5"/>
    </row>
    <row r="58" spans="2:11" ht="72.599999999999994" thickBot="1">
      <c r="B58" s="39">
        <v>42401</v>
      </c>
      <c r="C58" s="32">
        <v>0.01</v>
      </c>
      <c r="D58" s="40" t="s">
        <v>522</v>
      </c>
      <c r="E58" s="32"/>
      <c r="F58" s="5"/>
      <c r="G58" s="5"/>
      <c r="H58" s="5"/>
      <c r="I58" s="5"/>
      <c r="J58" s="5"/>
    </row>
    <row r="59" spans="2:11" ht="15" thickBot="1">
      <c r="B59" s="3"/>
      <c r="C59" s="74"/>
      <c r="D59" s="5"/>
      <c r="E59" s="5"/>
      <c r="F59" s="5"/>
      <c r="G59" s="5"/>
      <c r="H59" s="5"/>
      <c r="I59" s="5"/>
      <c r="J59" s="5"/>
      <c r="K59" s="5"/>
    </row>
    <row r="60" spans="2:11" ht="15" thickBot="1">
      <c r="B60" s="4" t="s">
        <v>54</v>
      </c>
      <c r="C60" s="75"/>
      <c r="D60" s="5"/>
      <c r="E60" s="5"/>
      <c r="F60" s="5"/>
      <c r="G60" s="5"/>
      <c r="H60" s="5"/>
      <c r="I60" s="5"/>
      <c r="J60" s="5"/>
      <c r="K60" s="5"/>
    </row>
    <row r="61" spans="2:11" s="109" customFormat="1">
      <c r="B61" s="1591" t="s">
        <v>523</v>
      </c>
      <c r="C61" s="1592"/>
      <c r="D61" s="1592"/>
      <c r="E61" s="1592"/>
      <c r="F61" s="1592"/>
      <c r="G61" s="1592"/>
      <c r="H61" s="108"/>
      <c r="I61" s="108"/>
      <c r="J61" s="108"/>
      <c r="K61" s="108"/>
    </row>
    <row r="62" spans="2:11" s="109" customFormat="1">
      <c r="B62" s="1591" t="s">
        <v>524</v>
      </c>
      <c r="C62" s="1592"/>
      <c r="D62" s="1592"/>
      <c r="E62" s="1592"/>
      <c r="F62" s="1592"/>
      <c r="G62" s="1592"/>
      <c r="H62" s="108"/>
      <c r="I62" s="108"/>
      <c r="J62" s="108"/>
      <c r="K62" s="108"/>
    </row>
    <row r="63" spans="2:11" s="109" customFormat="1" ht="35.4" customHeight="1">
      <c r="B63" s="1628"/>
      <c r="C63" s="1629"/>
      <c r="D63" s="1629"/>
      <c r="E63" s="1629"/>
      <c r="F63" s="1629"/>
      <c r="G63" s="1629"/>
      <c r="H63" s="108"/>
      <c r="I63" s="108"/>
      <c r="J63" s="108"/>
      <c r="K63" s="108"/>
    </row>
    <row r="64" spans="2:11" ht="15" thickBot="1">
      <c r="B64" s="1"/>
      <c r="C64" s="64"/>
      <c r="D64" s="5"/>
      <c r="E64" s="5"/>
      <c r="F64" s="5"/>
      <c r="G64" s="5"/>
      <c r="H64" s="5"/>
      <c r="I64" s="5"/>
      <c r="J64" s="5"/>
      <c r="K64" s="5"/>
    </row>
    <row r="65" spans="2:11" ht="24.6" thickBot="1">
      <c r="B65" s="41" t="s">
        <v>55</v>
      </c>
      <c r="C65" s="76"/>
      <c r="D65" s="5"/>
      <c r="E65" s="5"/>
      <c r="F65" s="5"/>
      <c r="G65" s="5"/>
      <c r="H65" s="5"/>
      <c r="I65" s="5"/>
      <c r="J65" s="5"/>
      <c r="K65" s="5"/>
    </row>
    <row r="66" spans="2:11" ht="15" thickBot="1">
      <c r="B66" s="29"/>
      <c r="C66" s="67"/>
      <c r="D66" s="5"/>
      <c r="E66" s="5"/>
      <c r="F66" s="5"/>
      <c r="G66" s="5"/>
      <c r="H66" s="5"/>
      <c r="I66" s="5"/>
      <c r="J66" s="5"/>
      <c r="K66" s="5"/>
    </row>
    <row r="67" spans="2:11" ht="72.599999999999994" thickBot="1">
      <c r="B67" s="42" t="s">
        <v>56</v>
      </c>
      <c r="C67" s="77"/>
      <c r="D67" s="34" t="s">
        <v>480</v>
      </c>
      <c r="E67" s="5"/>
      <c r="F67" s="5"/>
      <c r="G67" s="5"/>
      <c r="H67" s="5"/>
      <c r="I67" s="5"/>
      <c r="J67" s="5"/>
      <c r="K67" s="5"/>
    </row>
    <row r="68" spans="2:11">
      <c r="B68" s="1459" t="s">
        <v>58</v>
      </c>
      <c r="C68" s="73"/>
      <c r="D68" s="43" t="s">
        <v>59</v>
      </c>
      <c r="E68" s="5"/>
      <c r="F68" s="5"/>
      <c r="G68" s="5"/>
      <c r="H68" s="5"/>
      <c r="I68" s="5"/>
      <c r="J68" s="5"/>
      <c r="K68" s="5"/>
    </row>
    <row r="69" spans="2:11" ht="96">
      <c r="B69" s="1460"/>
      <c r="C69" s="73"/>
      <c r="D69" s="36" t="s">
        <v>481</v>
      </c>
      <c r="E69" s="5"/>
      <c r="F69" s="5"/>
      <c r="G69" s="5"/>
      <c r="H69" s="5"/>
      <c r="I69" s="5"/>
      <c r="J69" s="5"/>
      <c r="K69" s="5"/>
    </row>
    <row r="70" spans="2:11">
      <c r="B70" s="1460"/>
      <c r="C70" s="73"/>
      <c r="D70" s="43" t="s">
        <v>62</v>
      </c>
      <c r="E70" s="5"/>
      <c r="F70" s="5"/>
      <c r="G70" s="5"/>
      <c r="H70" s="5"/>
      <c r="I70" s="5"/>
      <c r="J70" s="5"/>
      <c r="K70" s="5"/>
    </row>
    <row r="71" spans="2:11" ht="60">
      <c r="B71" s="1460"/>
      <c r="C71" s="73"/>
      <c r="D71" s="36" t="s">
        <v>482</v>
      </c>
      <c r="E71" s="5"/>
      <c r="F71" s="5"/>
      <c r="G71" s="5"/>
      <c r="H71" s="5"/>
      <c r="I71" s="5"/>
      <c r="J71" s="5"/>
      <c r="K71" s="5"/>
    </row>
    <row r="72" spans="2:11">
      <c r="B72" s="1460"/>
      <c r="C72" s="73"/>
      <c r="D72" s="36" t="s">
        <v>64</v>
      </c>
      <c r="E72" s="5"/>
      <c r="F72" s="5"/>
      <c r="G72" s="5"/>
      <c r="H72" s="5"/>
      <c r="I72" s="5"/>
      <c r="J72" s="5"/>
      <c r="K72" s="5"/>
    </row>
    <row r="73" spans="2:11">
      <c r="B73" s="1460"/>
      <c r="C73" s="73"/>
      <c r="D73" s="36" t="s">
        <v>483</v>
      </c>
      <c r="E73" s="5"/>
      <c r="F73" s="5"/>
      <c r="G73" s="5"/>
      <c r="H73" s="5"/>
      <c r="I73" s="5"/>
      <c r="J73" s="5"/>
      <c r="K73" s="5"/>
    </row>
    <row r="74" spans="2:11">
      <c r="B74" s="1460"/>
      <c r="C74" s="73"/>
      <c r="D74" s="36" t="s">
        <v>484</v>
      </c>
      <c r="E74" s="5"/>
      <c r="F74" s="5"/>
      <c r="G74" s="5"/>
      <c r="H74" s="5"/>
      <c r="I74" s="5"/>
      <c r="J74" s="5"/>
      <c r="K74" s="5"/>
    </row>
    <row r="75" spans="2:11">
      <c r="B75" s="1460"/>
      <c r="C75" s="73"/>
      <c r="D75" s="43" t="s">
        <v>287</v>
      </c>
      <c r="E75" s="5"/>
      <c r="F75" s="5"/>
      <c r="G75" s="5"/>
      <c r="H75" s="5"/>
      <c r="I75" s="5"/>
      <c r="J75" s="5"/>
      <c r="K75" s="5"/>
    </row>
    <row r="76" spans="2:11" ht="24.6" thickBot="1">
      <c r="B76" s="1461"/>
      <c r="C76" s="2"/>
      <c r="D76" s="32" t="s">
        <v>452</v>
      </c>
      <c r="E76" s="5"/>
      <c r="F76" s="5"/>
      <c r="G76" s="5"/>
      <c r="H76" s="5"/>
      <c r="I76" s="5"/>
      <c r="J76" s="5"/>
      <c r="K76" s="5"/>
    </row>
    <row r="77" spans="2:11" ht="24.6" thickBot="1">
      <c r="B77" s="37" t="s">
        <v>71</v>
      </c>
      <c r="C77" s="2"/>
      <c r="D77" s="32"/>
      <c r="E77" s="5"/>
      <c r="F77" s="5"/>
      <c r="G77" s="5"/>
      <c r="H77" s="5"/>
      <c r="I77" s="5"/>
      <c r="J77" s="5"/>
      <c r="K77" s="5"/>
    </row>
    <row r="78" spans="2:11" ht="36">
      <c r="B78" s="1459" t="s">
        <v>72</v>
      </c>
      <c r="C78" s="73"/>
      <c r="D78" s="36" t="s">
        <v>485</v>
      </c>
      <c r="E78" s="5"/>
      <c r="F78" s="5"/>
      <c r="G78" s="5"/>
      <c r="H78" s="5"/>
      <c r="I78" s="5"/>
      <c r="J78" s="5"/>
      <c r="K78" s="5"/>
    </row>
    <row r="79" spans="2:11" ht="48">
      <c r="B79" s="1460"/>
      <c r="C79" s="73"/>
      <c r="D79" s="21" t="s">
        <v>486</v>
      </c>
      <c r="E79" s="5"/>
      <c r="F79" s="5"/>
      <c r="G79" s="5"/>
      <c r="H79" s="5"/>
      <c r="I79" s="5"/>
      <c r="J79" s="5"/>
      <c r="K79" s="5"/>
    </row>
    <row r="80" spans="2:11" ht="36">
      <c r="B80" s="1460"/>
      <c r="C80" s="73"/>
      <c r="D80" s="21" t="s">
        <v>487</v>
      </c>
      <c r="E80" s="5"/>
      <c r="F80" s="5"/>
      <c r="G80" s="5"/>
      <c r="H80" s="5"/>
      <c r="I80" s="5"/>
      <c r="J80" s="5"/>
      <c r="K80" s="5"/>
    </row>
    <row r="81" spans="2:11" ht="36">
      <c r="B81" s="1460"/>
      <c r="C81" s="73"/>
      <c r="D81" s="21" t="s">
        <v>488</v>
      </c>
      <c r="E81" s="5"/>
      <c r="F81" s="5"/>
      <c r="G81" s="5"/>
      <c r="H81" s="5"/>
      <c r="I81" s="5"/>
      <c r="J81" s="5"/>
      <c r="K81" s="5"/>
    </row>
    <row r="82" spans="2:11" ht="36">
      <c r="B82" s="1460"/>
      <c r="C82" s="73"/>
      <c r="D82" s="21" t="s">
        <v>489</v>
      </c>
      <c r="E82" s="5"/>
      <c r="F82" s="5"/>
      <c r="G82" s="5"/>
      <c r="H82" s="5"/>
      <c r="I82" s="5"/>
      <c r="J82" s="5"/>
      <c r="K82" s="5"/>
    </row>
    <row r="83" spans="2:11" ht="84">
      <c r="B83" s="1460"/>
      <c r="C83" s="73"/>
      <c r="D83" s="36" t="s">
        <v>490</v>
      </c>
      <c r="E83" s="5"/>
      <c r="F83" s="5"/>
      <c r="G83" s="5"/>
      <c r="H83" s="5"/>
      <c r="I83" s="5"/>
      <c r="J83" s="5"/>
      <c r="K83" s="5"/>
    </row>
    <row r="84" spans="2:11" ht="48">
      <c r="B84" s="1460"/>
      <c r="C84" s="73"/>
      <c r="D84" s="36" t="s">
        <v>491</v>
      </c>
      <c r="E84" s="5"/>
      <c r="F84" s="5"/>
      <c r="G84" s="5"/>
      <c r="H84" s="5"/>
      <c r="I84" s="5"/>
      <c r="J84" s="5"/>
      <c r="K84" s="5"/>
    </row>
    <row r="85" spans="2:11" ht="36">
      <c r="B85" s="1460"/>
      <c r="C85" s="73"/>
      <c r="D85" s="36" t="s">
        <v>492</v>
      </c>
      <c r="E85" s="5"/>
      <c r="F85" s="5"/>
      <c r="G85" s="5"/>
      <c r="H85" s="5"/>
      <c r="I85" s="5"/>
      <c r="J85" s="5"/>
      <c r="K85" s="5"/>
    </row>
    <row r="86" spans="2:11" ht="36">
      <c r="B86" s="1460"/>
      <c r="C86" s="73"/>
      <c r="D86" s="36" t="s">
        <v>493</v>
      </c>
      <c r="E86" s="5"/>
      <c r="F86" s="5"/>
      <c r="G86" s="5"/>
      <c r="H86" s="5"/>
      <c r="I86" s="5"/>
      <c r="J86" s="5"/>
      <c r="K86" s="5"/>
    </row>
    <row r="87" spans="2:11" ht="96.6" thickBot="1">
      <c r="B87" s="1461"/>
      <c r="C87" s="2"/>
      <c r="D87" s="32" t="s">
        <v>494</v>
      </c>
      <c r="E87" s="5"/>
      <c r="F87" s="5"/>
      <c r="G87" s="5"/>
      <c r="H87" s="5"/>
      <c r="I87" s="5"/>
      <c r="J87" s="5"/>
      <c r="K87" s="5"/>
    </row>
    <row r="88" spans="2:11" ht="24">
      <c r="B88" s="1459" t="s">
        <v>89</v>
      </c>
      <c r="C88" s="73"/>
      <c r="D88" s="43" t="s">
        <v>495</v>
      </c>
      <c r="E88" s="5"/>
      <c r="F88" s="5"/>
      <c r="G88" s="5"/>
      <c r="H88" s="5"/>
      <c r="I88" s="5"/>
      <c r="J88" s="5"/>
      <c r="K88" s="5"/>
    </row>
    <row r="89" spans="2:11">
      <c r="B89" s="1460"/>
      <c r="C89" s="73"/>
      <c r="D89" s="36" t="s">
        <v>496</v>
      </c>
      <c r="E89" s="5"/>
      <c r="F89" s="5"/>
      <c r="G89" s="5"/>
      <c r="H89" s="5"/>
      <c r="I89" s="5"/>
      <c r="J89" s="5"/>
      <c r="K89" s="5"/>
    </row>
    <row r="90" spans="2:11">
      <c r="B90" s="1460"/>
      <c r="C90" s="73"/>
      <c r="D90" s="36" t="s">
        <v>90</v>
      </c>
      <c r="E90" s="5"/>
      <c r="F90" s="5"/>
      <c r="G90" s="5"/>
      <c r="H90" s="5"/>
      <c r="I90" s="5"/>
      <c r="J90" s="5"/>
      <c r="K90" s="5"/>
    </row>
    <row r="91" spans="2:11" ht="38.4">
      <c r="B91" s="1460"/>
      <c r="C91" s="73"/>
      <c r="D91" s="36" t="s">
        <v>497</v>
      </c>
      <c r="E91" s="5"/>
      <c r="F91" s="5"/>
      <c r="G91" s="5"/>
      <c r="H91" s="5"/>
      <c r="I91" s="5"/>
      <c r="J91" s="5"/>
      <c r="K91" s="5"/>
    </row>
    <row r="92" spans="2:11" ht="38.4">
      <c r="B92" s="1460"/>
      <c r="C92" s="73"/>
      <c r="D92" s="36" t="s">
        <v>498</v>
      </c>
      <c r="E92" s="5"/>
      <c r="F92" s="5"/>
      <c r="G92" s="5"/>
      <c r="H92" s="5"/>
      <c r="I92" s="5"/>
      <c r="J92" s="5"/>
      <c r="K92" s="5"/>
    </row>
    <row r="93" spans="2:11" ht="38.4">
      <c r="B93" s="1460"/>
      <c r="C93" s="73"/>
      <c r="D93" s="36" t="s">
        <v>499</v>
      </c>
      <c r="E93" s="5"/>
      <c r="F93" s="5"/>
      <c r="G93" s="5"/>
      <c r="H93" s="5"/>
      <c r="I93" s="5"/>
      <c r="J93" s="5"/>
      <c r="K93" s="5"/>
    </row>
    <row r="94" spans="2:11">
      <c r="B94" s="1460"/>
      <c r="C94" s="73"/>
      <c r="D94" s="43" t="s">
        <v>245</v>
      </c>
      <c r="E94" s="5"/>
      <c r="F94" s="5"/>
      <c r="G94" s="5"/>
      <c r="H94" s="5"/>
      <c r="I94" s="5"/>
      <c r="J94" s="5"/>
      <c r="K94" s="5"/>
    </row>
    <row r="95" spans="2:11" ht="36">
      <c r="B95" s="1460"/>
      <c r="C95" s="73"/>
      <c r="D95" s="43" t="s">
        <v>500</v>
      </c>
      <c r="E95" s="5"/>
      <c r="F95" s="5"/>
      <c r="G95" s="5"/>
      <c r="H95" s="5"/>
      <c r="I95" s="5"/>
      <c r="J95" s="5"/>
      <c r="K95" s="5"/>
    </row>
    <row r="96" spans="2:11">
      <c r="B96" s="1460"/>
      <c r="C96" s="73"/>
      <c r="D96" s="13"/>
      <c r="E96" s="5"/>
      <c r="F96" s="5"/>
      <c r="G96" s="5"/>
      <c r="H96" s="5"/>
      <c r="I96" s="5"/>
      <c r="J96" s="5"/>
      <c r="K96" s="5"/>
    </row>
    <row r="97" spans="2:11">
      <c r="B97" s="1460"/>
      <c r="C97" s="73"/>
      <c r="D97" s="36" t="s">
        <v>90</v>
      </c>
      <c r="E97" s="5"/>
      <c r="F97" s="5"/>
      <c r="G97" s="5"/>
      <c r="H97" s="5"/>
      <c r="I97" s="5"/>
      <c r="J97" s="5"/>
      <c r="K97" s="5"/>
    </row>
    <row r="98" spans="2:11" ht="38.4">
      <c r="B98" s="1460"/>
      <c r="C98" s="73"/>
      <c r="D98" s="36" t="s">
        <v>501</v>
      </c>
      <c r="E98" s="5"/>
      <c r="F98" s="5"/>
      <c r="G98" s="5"/>
      <c r="H98" s="5"/>
      <c r="I98" s="5"/>
      <c r="J98" s="5"/>
      <c r="K98" s="5"/>
    </row>
    <row r="99" spans="2:11" ht="39" thickBot="1">
      <c r="B99" s="1461"/>
      <c r="C99" s="2"/>
      <c r="D99" s="32" t="s">
        <v>502</v>
      </c>
      <c r="E99" s="5"/>
      <c r="F99" s="5"/>
      <c r="G99" s="5"/>
      <c r="H99" s="5"/>
      <c r="I99" s="5"/>
      <c r="J99" s="5"/>
      <c r="K99" s="5"/>
    </row>
    <row r="100" spans="2:11">
      <c r="B100" s="5"/>
      <c r="D100" s="5"/>
      <c r="E100" s="5"/>
      <c r="F100" s="5"/>
      <c r="G100" s="5"/>
      <c r="H100" s="5"/>
      <c r="I100" s="5"/>
      <c r="J100" s="5"/>
      <c r="K100" s="5"/>
    </row>
    <row r="101" spans="2:11">
      <c r="B101" s="5"/>
      <c r="D101" s="5"/>
      <c r="E101" s="5"/>
      <c r="F101" s="5"/>
      <c r="G101" s="5"/>
      <c r="H101" s="5"/>
      <c r="I101" s="5"/>
      <c r="J101" s="5"/>
      <c r="K101" s="5"/>
    </row>
    <row r="102" spans="2:11">
      <c r="B102" s="5"/>
      <c r="D102" s="5"/>
      <c r="E102" s="5"/>
      <c r="F102" s="5"/>
      <c r="G102" s="5"/>
      <c r="H102" s="5"/>
      <c r="I102" s="5"/>
      <c r="J102" s="5"/>
      <c r="K102" s="5"/>
    </row>
    <row r="103" spans="2:11">
      <c r="B103" s="5"/>
      <c r="D103" s="5"/>
      <c r="E103" s="5"/>
      <c r="F103" s="5"/>
      <c r="G103" s="5"/>
      <c r="H103" s="5"/>
      <c r="I103" s="5"/>
      <c r="J103" s="5"/>
      <c r="K103" s="5"/>
    </row>
    <row r="104" spans="2:11">
      <c r="B104" s="5"/>
      <c r="D104" s="5"/>
      <c r="E104" s="5"/>
      <c r="F104" s="5"/>
      <c r="G104" s="5"/>
      <c r="H104" s="5"/>
      <c r="I104" s="5"/>
      <c r="J104" s="5"/>
      <c r="K104" s="5"/>
    </row>
    <row r="105" spans="2:11">
      <c r="B105" s="5"/>
      <c r="D105" s="5"/>
      <c r="E105" s="5"/>
      <c r="F105" s="5"/>
      <c r="G105" s="5"/>
      <c r="H105" s="5"/>
      <c r="I105" s="5"/>
      <c r="J105" s="5"/>
      <c r="K105" s="5"/>
    </row>
    <row r="106" spans="2:11">
      <c r="B106" s="5"/>
      <c r="D106" s="5"/>
      <c r="E106" s="5"/>
      <c r="F106" s="5"/>
      <c r="G106" s="5"/>
      <c r="H106" s="5"/>
      <c r="I106" s="5"/>
      <c r="J106" s="5"/>
      <c r="K106" s="5"/>
    </row>
    <row r="107" spans="2:11">
      <c r="B107" s="5"/>
      <c r="D107" s="5"/>
      <c r="E107" s="5"/>
      <c r="F107" s="5"/>
      <c r="G107" s="5"/>
      <c r="H107" s="5"/>
      <c r="I107" s="5"/>
      <c r="J107" s="5"/>
      <c r="K107" s="5"/>
    </row>
    <row r="108" spans="2:11">
      <c r="B108" s="5"/>
      <c r="D108" s="5"/>
      <c r="E108" s="5"/>
      <c r="F108" s="5"/>
      <c r="G108" s="5"/>
      <c r="H108" s="5"/>
      <c r="I108" s="5"/>
      <c r="J108" s="5"/>
      <c r="K108" s="5"/>
    </row>
    <row r="109" spans="2:11">
      <c r="B109" s="5"/>
      <c r="D109" s="5"/>
      <c r="E109" s="5"/>
      <c r="F109" s="5"/>
      <c r="G109" s="5"/>
      <c r="H109" s="5"/>
      <c r="I109" s="5"/>
      <c r="J109" s="5"/>
      <c r="K109" s="5"/>
    </row>
    <row r="110" spans="2:11">
      <c r="B110" s="5"/>
      <c r="D110" s="5"/>
      <c r="E110" s="5"/>
      <c r="F110" s="5"/>
      <c r="G110" s="5"/>
      <c r="H110" s="5"/>
      <c r="I110" s="5"/>
      <c r="J110" s="5"/>
      <c r="K110" s="5"/>
    </row>
    <row r="111" spans="2:11">
      <c r="B111" s="5"/>
      <c r="D111" s="5"/>
      <c r="E111" s="5"/>
      <c r="F111" s="5"/>
      <c r="G111" s="5"/>
      <c r="H111" s="5"/>
      <c r="I111" s="5"/>
      <c r="J111" s="5"/>
      <c r="K111" s="5"/>
    </row>
    <row r="112" spans="2:11">
      <c r="B112" s="5"/>
      <c r="D112" s="5"/>
      <c r="E112" s="5"/>
      <c r="F112" s="5"/>
      <c r="G112" s="5"/>
      <c r="H112" s="5"/>
      <c r="I112" s="5"/>
      <c r="J112" s="5"/>
      <c r="K112" s="5"/>
    </row>
    <row r="113" spans="2:11">
      <c r="B113" s="5"/>
      <c r="D113" s="5"/>
      <c r="E113" s="5"/>
      <c r="F113" s="5"/>
      <c r="G113" s="5"/>
      <c r="H113" s="5"/>
      <c r="I113" s="5"/>
      <c r="J113" s="5"/>
      <c r="K113" s="5"/>
    </row>
    <row r="114" spans="2:11">
      <c r="B114" s="5"/>
      <c r="D114" s="5"/>
      <c r="E114" s="5"/>
      <c r="F114" s="5"/>
      <c r="G114" s="5"/>
      <c r="H114" s="5"/>
      <c r="I114" s="5"/>
      <c r="J114" s="5"/>
      <c r="K114" s="5"/>
    </row>
    <row r="115" spans="2:11">
      <c r="B115" s="5"/>
      <c r="D115" s="5"/>
      <c r="E115" s="5"/>
      <c r="F115" s="5"/>
      <c r="G115" s="5"/>
      <c r="H115" s="5"/>
      <c r="I115" s="5"/>
      <c r="J115" s="5"/>
      <c r="K115" s="5"/>
    </row>
    <row r="116" spans="2:11">
      <c r="B116" s="5"/>
      <c r="D116" s="5"/>
      <c r="E116" s="5"/>
      <c r="F116" s="5"/>
      <c r="G116" s="5"/>
      <c r="H116" s="5"/>
      <c r="I116" s="5"/>
      <c r="J116" s="5"/>
      <c r="K116" s="5"/>
    </row>
    <row r="117" spans="2:11">
      <c r="B117" s="5"/>
      <c r="D117" s="5"/>
      <c r="E117" s="5"/>
      <c r="F117" s="5"/>
      <c r="G117" s="5"/>
      <c r="H117" s="5"/>
      <c r="I117" s="5"/>
      <c r="J117" s="5"/>
      <c r="K117" s="5"/>
    </row>
    <row r="118" spans="2:11">
      <c r="B118" s="5"/>
      <c r="D118" s="5"/>
      <c r="E118" s="5"/>
      <c r="F118" s="5"/>
      <c r="G118" s="5"/>
      <c r="H118" s="5"/>
      <c r="I118" s="5"/>
      <c r="J118" s="5"/>
      <c r="K118" s="5"/>
    </row>
    <row r="119" spans="2:11">
      <c r="B119" s="5"/>
      <c r="D119" s="5"/>
      <c r="E119" s="5"/>
      <c r="F119" s="5"/>
      <c r="G119" s="5"/>
      <c r="H119" s="5"/>
      <c r="I119" s="5"/>
      <c r="J119" s="5"/>
      <c r="K119" s="5"/>
    </row>
    <row r="120" spans="2:11">
      <c r="B120" s="5"/>
      <c r="D120" s="5"/>
      <c r="E120" s="5"/>
      <c r="F120" s="5"/>
      <c r="G120" s="5"/>
      <c r="H120" s="5"/>
      <c r="I120" s="5"/>
      <c r="J120" s="5"/>
      <c r="K120" s="5"/>
    </row>
    <row r="121" spans="2:11">
      <c r="B121" s="5"/>
      <c r="D121" s="5"/>
      <c r="E121" s="5"/>
      <c r="F121" s="5"/>
      <c r="G121" s="5"/>
      <c r="H121" s="5"/>
      <c r="I121" s="5"/>
      <c r="J121" s="5"/>
      <c r="K121" s="5"/>
    </row>
    <row r="122" spans="2:11">
      <c r="B122" s="5"/>
      <c r="D122" s="5"/>
      <c r="E122" s="5"/>
      <c r="F122" s="5"/>
      <c r="G122" s="5"/>
      <c r="H122" s="5"/>
      <c r="I122" s="5"/>
      <c r="J122" s="5"/>
      <c r="K122" s="5"/>
    </row>
    <row r="123" spans="2:11">
      <c r="B123" s="5"/>
      <c r="D123" s="5"/>
      <c r="E123" s="5"/>
      <c r="F123" s="5"/>
      <c r="G123" s="5"/>
      <c r="H123" s="5"/>
      <c r="I123" s="5"/>
      <c r="J123" s="5"/>
      <c r="K123" s="5"/>
    </row>
    <row r="124" spans="2:11">
      <c r="B124" s="5"/>
      <c r="D124" s="5"/>
      <c r="E124" s="5"/>
      <c r="F124" s="5"/>
      <c r="G124" s="5"/>
      <c r="H124" s="5"/>
      <c r="I124" s="5"/>
      <c r="J124" s="5"/>
      <c r="K124" s="5"/>
    </row>
    <row r="125" spans="2:11">
      <c r="B125" s="5"/>
      <c r="D125" s="5"/>
      <c r="E125" s="5"/>
      <c r="F125" s="5"/>
      <c r="G125" s="5"/>
      <c r="H125" s="5"/>
      <c r="I125" s="5"/>
      <c r="J125" s="5"/>
      <c r="K125" s="5"/>
    </row>
    <row r="126" spans="2:11">
      <c r="B126" s="5"/>
      <c r="D126" s="5"/>
      <c r="E126" s="5"/>
      <c r="F126" s="5"/>
      <c r="G126" s="5"/>
      <c r="H126" s="5"/>
      <c r="I126" s="5"/>
      <c r="J126" s="5"/>
      <c r="K126" s="5"/>
    </row>
    <row r="127" spans="2:11">
      <c r="B127" s="5"/>
      <c r="D127" s="5"/>
      <c r="E127" s="5"/>
      <c r="F127" s="5"/>
      <c r="G127" s="5"/>
      <c r="H127" s="5"/>
      <c r="I127" s="5"/>
      <c r="J127" s="5"/>
      <c r="K127" s="5"/>
    </row>
    <row r="128" spans="2:11">
      <c r="B128" s="5"/>
      <c r="D128" s="5"/>
      <c r="E128" s="5"/>
      <c r="F128" s="5"/>
      <c r="G128" s="5"/>
      <c r="H128" s="5"/>
      <c r="I128" s="5"/>
      <c r="J128" s="5"/>
      <c r="K128" s="5"/>
    </row>
    <row r="129" spans="2:11">
      <c r="B129" s="5"/>
      <c r="D129" s="5"/>
      <c r="E129" s="5"/>
      <c r="F129" s="5"/>
      <c r="G129" s="5"/>
      <c r="H129" s="5"/>
      <c r="I129" s="5"/>
      <c r="J129" s="5"/>
      <c r="K129" s="5"/>
    </row>
    <row r="130" spans="2:11">
      <c r="B130" s="5"/>
      <c r="D130" s="5"/>
      <c r="E130" s="5"/>
      <c r="F130" s="5"/>
      <c r="G130" s="5"/>
      <c r="H130" s="5"/>
      <c r="I130" s="5"/>
      <c r="J130" s="5"/>
      <c r="K130" s="5"/>
    </row>
    <row r="131" spans="2:11">
      <c r="B131" s="5"/>
      <c r="D131" s="5"/>
      <c r="E131" s="5"/>
      <c r="F131" s="5"/>
      <c r="G131" s="5"/>
      <c r="H131" s="5"/>
      <c r="I131" s="5"/>
      <c r="J131" s="5"/>
      <c r="K131" s="5"/>
    </row>
    <row r="132" spans="2:11">
      <c r="B132" s="5"/>
      <c r="D132" s="5"/>
      <c r="E132" s="5"/>
      <c r="F132" s="5"/>
      <c r="G132" s="5"/>
      <c r="H132" s="5"/>
      <c r="I132" s="5"/>
      <c r="J132" s="5"/>
      <c r="K132" s="5"/>
    </row>
    <row r="133" spans="2:11">
      <c r="B133" s="5"/>
      <c r="D133" s="5"/>
      <c r="E133" s="5"/>
      <c r="F133" s="5"/>
      <c r="G133" s="5"/>
      <c r="H133" s="5"/>
      <c r="I133" s="5"/>
      <c r="J133" s="5"/>
      <c r="K133" s="5"/>
    </row>
    <row r="134" spans="2:11">
      <c r="B134" s="5"/>
      <c r="D134" s="5"/>
      <c r="E134" s="5"/>
      <c r="F134" s="5"/>
      <c r="G134" s="5"/>
      <c r="H134" s="5"/>
      <c r="I134" s="5"/>
      <c r="J134" s="5"/>
      <c r="K134" s="5"/>
    </row>
    <row r="135" spans="2:11">
      <c r="B135" s="5"/>
      <c r="D135" s="5"/>
      <c r="E135" s="5"/>
      <c r="F135" s="5"/>
      <c r="G135" s="5"/>
      <c r="H135" s="5"/>
      <c r="I135" s="5"/>
      <c r="J135" s="5"/>
      <c r="K135" s="5"/>
    </row>
    <row r="136" spans="2:11">
      <c r="B136" s="5"/>
      <c r="D136" s="5"/>
      <c r="E136" s="5"/>
      <c r="F136" s="5"/>
      <c r="G136" s="5"/>
      <c r="H136" s="5"/>
      <c r="I136" s="5"/>
      <c r="J136" s="5"/>
      <c r="K136" s="5"/>
    </row>
    <row r="137" spans="2:11">
      <c r="B137" s="5"/>
      <c r="D137" s="5"/>
      <c r="E137" s="5"/>
      <c r="F137" s="5"/>
      <c r="G137" s="5"/>
      <c r="H137" s="5"/>
      <c r="I137" s="5"/>
      <c r="J137" s="5"/>
      <c r="K137" s="5"/>
    </row>
    <row r="138" spans="2:11">
      <c r="B138" s="5"/>
      <c r="D138" s="5"/>
      <c r="E138" s="5"/>
      <c r="F138" s="5"/>
      <c r="G138" s="5"/>
      <c r="H138" s="5"/>
      <c r="I138" s="5"/>
      <c r="J138" s="5"/>
      <c r="K138" s="5"/>
    </row>
    <row r="139" spans="2:11">
      <c r="B139" s="5"/>
      <c r="D139" s="5"/>
      <c r="E139" s="5"/>
      <c r="F139" s="5"/>
      <c r="G139" s="5"/>
      <c r="H139" s="5"/>
      <c r="I139" s="5"/>
      <c r="J139" s="5"/>
      <c r="K139" s="5"/>
    </row>
    <row r="140" spans="2:11">
      <c r="B140" s="5"/>
      <c r="D140" s="5"/>
      <c r="E140" s="5"/>
      <c r="F140" s="5"/>
      <c r="G140" s="5"/>
      <c r="H140" s="5"/>
      <c r="I140" s="5"/>
      <c r="J140" s="5"/>
      <c r="K140" s="5"/>
    </row>
    <row r="141" spans="2:11">
      <c r="B141" s="5"/>
      <c r="D141" s="5"/>
      <c r="E141" s="5"/>
      <c r="F141" s="5"/>
      <c r="G141" s="5"/>
      <c r="H141" s="5"/>
      <c r="I141" s="5"/>
      <c r="J141" s="5"/>
      <c r="K141" s="5"/>
    </row>
    <row r="142" spans="2:11">
      <c r="B142" s="5"/>
      <c r="D142" s="5"/>
      <c r="E142" s="5"/>
      <c r="F142" s="5"/>
      <c r="G142" s="5"/>
      <c r="H142" s="5"/>
      <c r="I142" s="5"/>
      <c r="J142" s="5"/>
      <c r="K142" s="5"/>
    </row>
    <row r="143" spans="2:11">
      <c r="B143" s="5"/>
      <c r="D143" s="5"/>
      <c r="E143" s="5"/>
      <c r="F143" s="5"/>
      <c r="G143" s="5"/>
      <c r="H143" s="5"/>
      <c r="I143" s="5"/>
      <c r="J143" s="5"/>
      <c r="K143" s="5"/>
    </row>
    <row r="144" spans="2:11">
      <c r="B144" s="5"/>
      <c r="D144" s="5"/>
      <c r="E144" s="5"/>
      <c r="F144" s="5"/>
      <c r="G144" s="5"/>
      <c r="H144" s="5"/>
      <c r="I144" s="5"/>
      <c r="J144" s="5"/>
      <c r="K144" s="5"/>
    </row>
    <row r="145" spans="2:11">
      <c r="B145" s="5"/>
      <c r="D145" s="5"/>
      <c r="E145" s="5"/>
      <c r="F145" s="5"/>
      <c r="G145" s="5"/>
      <c r="H145" s="5"/>
      <c r="I145" s="5"/>
      <c r="J145" s="5"/>
      <c r="K145" s="5"/>
    </row>
    <row r="146" spans="2:11">
      <c r="B146" s="5"/>
      <c r="D146" s="5"/>
      <c r="E146" s="5"/>
      <c r="F146" s="5"/>
      <c r="G146" s="5"/>
      <c r="H146" s="5"/>
      <c r="I146" s="5"/>
      <c r="J146" s="5"/>
      <c r="K146" s="5"/>
    </row>
    <row r="147" spans="2:11">
      <c r="B147" s="5"/>
      <c r="D147" s="5"/>
      <c r="E147" s="5"/>
      <c r="F147" s="5"/>
      <c r="G147" s="5"/>
      <c r="H147" s="5"/>
      <c r="I147" s="5"/>
      <c r="J147" s="5"/>
      <c r="K147" s="5"/>
    </row>
    <row r="148" spans="2:11">
      <c r="B148" s="5"/>
      <c r="D148" s="5"/>
      <c r="E148" s="5"/>
      <c r="F148" s="5"/>
      <c r="G148" s="5"/>
      <c r="H148" s="5"/>
      <c r="I148" s="5"/>
      <c r="J148" s="5"/>
      <c r="K148" s="5"/>
    </row>
    <row r="149" spans="2:11">
      <c r="B149" s="5"/>
      <c r="D149" s="5"/>
      <c r="E149" s="5"/>
      <c r="F149" s="5"/>
      <c r="G149" s="5"/>
      <c r="H149" s="5"/>
      <c r="I149" s="5"/>
      <c r="J149" s="5"/>
      <c r="K149" s="5"/>
    </row>
    <row r="150" spans="2:11">
      <c r="B150" s="5"/>
      <c r="D150" s="5"/>
      <c r="E150" s="5"/>
      <c r="F150" s="5"/>
      <c r="G150" s="5"/>
      <c r="H150" s="5"/>
      <c r="I150" s="5"/>
      <c r="J150" s="5"/>
      <c r="K150" s="5"/>
    </row>
    <row r="151" spans="2:11">
      <c r="B151" s="5"/>
      <c r="D151" s="5"/>
      <c r="E151" s="5"/>
      <c r="F151" s="5"/>
      <c r="G151" s="5"/>
      <c r="H151" s="5"/>
      <c r="I151" s="5"/>
      <c r="J151" s="5"/>
      <c r="K151" s="5"/>
    </row>
    <row r="152" spans="2:11">
      <c r="B152" s="5"/>
      <c r="D152" s="5"/>
      <c r="E152" s="5"/>
      <c r="F152" s="5"/>
      <c r="G152" s="5"/>
      <c r="H152" s="5"/>
      <c r="I152" s="5"/>
      <c r="J152" s="5"/>
      <c r="K152" s="5"/>
    </row>
    <row r="153" spans="2:11">
      <c r="B153" s="5"/>
      <c r="D153" s="5"/>
      <c r="E153" s="5"/>
      <c r="F153" s="5"/>
      <c r="G153" s="5"/>
      <c r="H153" s="5"/>
      <c r="I153" s="5"/>
      <c r="J153" s="5"/>
      <c r="K153" s="5"/>
    </row>
    <row r="154" spans="2:11">
      <c r="B154" s="5"/>
      <c r="D154" s="5"/>
      <c r="E154" s="5"/>
      <c r="F154" s="5"/>
      <c r="G154" s="5"/>
      <c r="H154" s="5"/>
      <c r="I154" s="5"/>
      <c r="J154" s="5"/>
      <c r="K154" s="5"/>
    </row>
    <row r="155" spans="2:11">
      <c r="B155" s="5"/>
      <c r="D155" s="5"/>
      <c r="E155" s="5"/>
      <c r="F155" s="5"/>
      <c r="G155" s="5"/>
      <c r="H155" s="5"/>
      <c r="I155" s="5"/>
      <c r="J155" s="5"/>
      <c r="K155" s="5"/>
    </row>
    <row r="156" spans="2:11">
      <c r="B156" s="5"/>
      <c r="D156" s="5"/>
      <c r="E156" s="5"/>
      <c r="F156" s="5"/>
      <c r="G156" s="5"/>
      <c r="H156" s="5"/>
      <c r="I156" s="5"/>
      <c r="J156" s="5"/>
      <c r="K156" s="5"/>
    </row>
    <row r="157" spans="2:11">
      <c r="B157" s="5"/>
      <c r="D157" s="5"/>
      <c r="E157" s="5"/>
      <c r="F157" s="5"/>
      <c r="G157" s="5"/>
      <c r="H157" s="5"/>
      <c r="I157" s="5"/>
      <c r="J157" s="5"/>
      <c r="K157" s="5"/>
    </row>
    <row r="158" spans="2:11">
      <c r="B158" s="5"/>
      <c r="D158" s="5"/>
      <c r="E158" s="5"/>
      <c r="F158" s="5"/>
      <c r="G158" s="5"/>
      <c r="H158" s="5"/>
      <c r="I158" s="5"/>
      <c r="J158" s="5"/>
      <c r="K158" s="5"/>
    </row>
    <row r="159" spans="2:11">
      <c r="B159" s="5"/>
      <c r="D159" s="5"/>
      <c r="E159" s="5"/>
      <c r="F159" s="5"/>
      <c r="G159" s="5"/>
      <c r="H159" s="5"/>
      <c r="I159" s="5"/>
      <c r="J159" s="5"/>
      <c r="K159" s="5"/>
    </row>
    <row r="160" spans="2:11">
      <c r="B160" s="5"/>
      <c r="D160" s="5"/>
      <c r="E160" s="5"/>
      <c r="F160" s="5"/>
      <c r="G160" s="5"/>
      <c r="H160" s="5"/>
      <c r="I160" s="5"/>
      <c r="J160" s="5"/>
      <c r="K160" s="5"/>
    </row>
    <row r="161" spans="2:11">
      <c r="B161" s="5"/>
      <c r="D161" s="5"/>
      <c r="E161" s="5"/>
      <c r="F161" s="5"/>
      <c r="G161" s="5"/>
      <c r="H161" s="5"/>
      <c r="I161" s="5"/>
      <c r="J161" s="5"/>
      <c r="K161" s="5"/>
    </row>
    <row r="162" spans="2:11">
      <c r="B162" s="5"/>
      <c r="D162" s="5"/>
      <c r="E162" s="5"/>
      <c r="F162" s="5"/>
      <c r="G162" s="5"/>
      <c r="H162" s="5"/>
      <c r="I162" s="5"/>
      <c r="J162" s="5"/>
      <c r="K162" s="5"/>
    </row>
    <row r="163" spans="2:11">
      <c r="B163" s="5"/>
      <c r="D163" s="5"/>
      <c r="E163" s="5"/>
      <c r="F163" s="5"/>
      <c r="G163" s="5"/>
      <c r="H163" s="5"/>
      <c r="I163" s="5"/>
      <c r="J163" s="5"/>
      <c r="K163" s="5"/>
    </row>
    <row r="164" spans="2:11">
      <c r="B164" s="5"/>
      <c r="D164" s="5"/>
      <c r="E164" s="5"/>
      <c r="F164" s="5"/>
      <c r="G164" s="5"/>
      <c r="H164" s="5"/>
      <c r="I164" s="5"/>
      <c r="J164" s="5"/>
      <c r="K164" s="5"/>
    </row>
    <row r="165" spans="2:11">
      <c r="B165" s="5"/>
      <c r="D165" s="5"/>
      <c r="E165" s="5"/>
      <c r="F165" s="5"/>
      <c r="G165" s="5"/>
      <c r="H165" s="5"/>
      <c r="I165" s="5"/>
      <c r="J165" s="5"/>
      <c r="K165" s="5"/>
    </row>
    <row r="166" spans="2:11">
      <c r="B166" s="5"/>
      <c r="D166" s="5"/>
      <c r="E166" s="5"/>
      <c r="F166" s="5"/>
      <c r="G166" s="5"/>
      <c r="H166" s="5"/>
      <c r="I166" s="5"/>
      <c r="J166" s="5"/>
      <c r="K166" s="5"/>
    </row>
    <row r="167" spans="2:11">
      <c r="B167" s="5"/>
      <c r="D167" s="5"/>
      <c r="E167" s="5"/>
      <c r="F167" s="5"/>
      <c r="G167" s="5"/>
      <c r="H167" s="5"/>
      <c r="I167" s="5"/>
      <c r="J167" s="5"/>
      <c r="K167" s="5"/>
    </row>
    <row r="168" spans="2:11">
      <c r="B168" s="5"/>
      <c r="D168" s="5"/>
      <c r="E168" s="5"/>
      <c r="F168" s="5"/>
      <c r="G168" s="5"/>
      <c r="H168" s="5"/>
      <c r="I168" s="5"/>
      <c r="J168" s="5"/>
      <c r="K168" s="5"/>
    </row>
    <row r="169" spans="2:11">
      <c r="B169" s="5"/>
      <c r="D169" s="5"/>
      <c r="E169" s="5"/>
      <c r="F169" s="5"/>
      <c r="G169" s="5"/>
      <c r="H169" s="5"/>
      <c r="I169" s="5"/>
      <c r="J169" s="5"/>
      <c r="K169" s="5"/>
    </row>
    <row r="170" spans="2:11">
      <c r="B170" s="5"/>
      <c r="D170" s="5"/>
      <c r="E170" s="5"/>
      <c r="F170" s="5"/>
      <c r="G170" s="5"/>
      <c r="H170" s="5"/>
      <c r="I170" s="5"/>
      <c r="J170" s="5"/>
      <c r="K170" s="5"/>
    </row>
    <row r="171" spans="2:11">
      <c r="B171" s="5"/>
      <c r="D171" s="5"/>
      <c r="E171" s="5"/>
      <c r="F171" s="5"/>
      <c r="G171" s="5"/>
      <c r="H171" s="5"/>
      <c r="I171" s="5"/>
      <c r="J171" s="5"/>
      <c r="K171" s="5"/>
    </row>
    <row r="172" spans="2:11">
      <c r="B172" s="5"/>
      <c r="D172" s="5"/>
      <c r="E172" s="5"/>
      <c r="F172" s="5"/>
      <c r="G172" s="5"/>
      <c r="H172" s="5"/>
      <c r="I172" s="5"/>
      <c r="J172" s="5"/>
      <c r="K172" s="5"/>
    </row>
  </sheetData>
  <mergeCells count="53">
    <mergeCell ref="D31:D32"/>
    <mergeCell ref="L31:L32"/>
    <mergeCell ref="I31:I32"/>
    <mergeCell ref="J31:J32"/>
    <mergeCell ref="K31:K32"/>
    <mergeCell ref="H31:H32"/>
    <mergeCell ref="B10:D10"/>
    <mergeCell ref="F10:S10"/>
    <mergeCell ref="F11:S11"/>
    <mergeCell ref="E12:R12"/>
    <mergeCell ref="E13:R13"/>
    <mergeCell ref="E29:E30"/>
    <mergeCell ref="F29:F30"/>
    <mergeCell ref="G29:G30"/>
    <mergeCell ref="J29:J30"/>
    <mergeCell ref="L29:L30"/>
    <mergeCell ref="B88:B99"/>
    <mergeCell ref="D16:D18"/>
    <mergeCell ref="E16:J16"/>
    <mergeCell ref="E17:G17"/>
    <mergeCell ref="H17:J17"/>
    <mergeCell ref="B15:B33"/>
    <mergeCell ref="D15:P15"/>
    <mergeCell ref="D23:P23"/>
    <mergeCell ref="D24:P24"/>
    <mergeCell ref="D25:P25"/>
    <mergeCell ref="D26:P26"/>
    <mergeCell ref="K16:P16"/>
    <mergeCell ref="B56:F56"/>
    <mergeCell ref="D34:P34"/>
    <mergeCell ref="B61:G61"/>
    <mergeCell ref="B62:G62"/>
    <mergeCell ref="Q15:Q18"/>
    <mergeCell ref="B68:B76"/>
    <mergeCell ref="B78:B87"/>
    <mergeCell ref="B63:G63"/>
    <mergeCell ref="B38:B44"/>
    <mergeCell ref="B46:E46"/>
    <mergeCell ref="B47:B53"/>
    <mergeCell ref="K17:M17"/>
    <mergeCell ref="N17:P17"/>
    <mergeCell ref="K29:K30"/>
    <mergeCell ref="D35:P35"/>
    <mergeCell ref="B37:E37"/>
    <mergeCell ref="D27:P27"/>
    <mergeCell ref="D28:P28"/>
    <mergeCell ref="C29:C30"/>
    <mergeCell ref="D29:D30"/>
    <mergeCell ref="A1:P1"/>
    <mergeCell ref="A2:P2"/>
    <mergeCell ref="A3:P3"/>
    <mergeCell ref="A4:D4"/>
    <mergeCell ref="A5:P5"/>
  </mergeCells>
  <conditionalFormatting sqref="E12:R12">
    <cfRule type="expression" dxfId="73" priority="1">
      <formula>E11="SI SE REPORTA"</formula>
    </cfRule>
  </conditionalFormatting>
  <conditionalFormatting sqref="F10">
    <cfRule type="notContainsBlanks" dxfId="72" priority="4">
      <formula>LEN(TRIM(F10))&gt;0</formula>
    </cfRule>
  </conditionalFormatting>
  <conditionalFormatting sqref="F11:S11">
    <cfRule type="expression" dxfId="71" priority="2">
      <formula>E11="NO SE REPORTA"</formula>
    </cfRule>
    <cfRule type="expression" dxfId="70" priority="3">
      <formula>E10="NO APLICA"</formula>
    </cfRule>
  </conditionalFormatting>
  <dataValidations count="4">
    <dataValidation type="whole" operator="greaterThanOrEqual" allowBlank="1" showErrorMessage="1" errorTitle="ERROR" error="Escriba un número igual o mayor que 0" promptTitle="ERROR" prompt="Escriba un número igual o mayor que 0" sqref="E19:P21" xr:uid="{00000000-0002-0000-1100-000000000000}">
      <formula1>0</formula1>
    </dataValidation>
    <dataValidation type="list" allowBlank="1" showInputMessage="1" showErrorMessage="1" sqref="E11" xr:uid="{00000000-0002-0000-1100-000002000000}">
      <formula1>REPORTE</formula1>
    </dataValidation>
    <dataValidation type="list" allowBlank="1" showInputMessage="1" showErrorMessage="1" sqref="E10" xr:uid="{00000000-0002-0000-1100-000003000000}">
      <formula1>SI</formula1>
    </dataValidation>
    <dataValidation type="whole" operator="greaterThanOrEqual" allowBlank="1" showInputMessage="1" showErrorMessage="1" errorTitle="ERROR" error="Valor en PESOS (sin centavos)" sqref="H31:K31" xr:uid="{00000000-0002-0000-1100-000001000000}">
      <formula1>0</formula1>
    </dataValidation>
  </dataValidations>
  <hyperlinks>
    <hyperlink ref="B9" location="'ANEXO 3'!A1" display="VOLVER AL INDICE" xr:uid="{00000000-0004-0000-1100-000000000000}"/>
    <hyperlink ref="E42" r:id="rId1" xr:uid="{00000000-0004-0000-1100-000001000000}"/>
  </hyperlinks>
  <pageMargins left="0.25" right="0.25" top="0.75" bottom="0.75" header="0.3" footer="0.3"/>
  <pageSetup paperSize="178" orientation="landscape" horizontalDpi="1200" verticalDpi="1200" r:id="rId2"/>
  <drawing r:id="rId3"/>
  <legacyDrawing r:id="rId4"/>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4"/>
  <dimension ref="A1:U173"/>
  <sheetViews>
    <sheetView showGridLines="0" zoomScale="98" zoomScaleNormal="98" workbookViewId="0">
      <selection activeCell="K29" sqref="K29"/>
    </sheetView>
  </sheetViews>
  <sheetFormatPr baseColWidth="10" defaultRowHeight="14.4"/>
  <cols>
    <col min="1" max="1" width="1.88671875" customWidth="1"/>
    <col min="2" max="2" width="12.88671875" customWidth="1"/>
    <col min="3" max="3" width="6.6640625" style="66" customWidth="1"/>
    <col min="4" max="4" width="34.88671875" customWidth="1"/>
    <col min="5" max="5" width="18.88671875" customWidth="1"/>
    <col min="6" max="6" width="10.5546875" customWidth="1"/>
    <col min="7" max="7" width="13.33203125" customWidth="1"/>
    <col min="8" max="8" width="12.6640625" customWidth="1"/>
    <col min="9" max="9" width="12.109375" customWidth="1"/>
    <col min="10" max="10" width="13.88671875" customWidth="1"/>
    <col min="11" max="11" width="14.44140625" bestFit="1" customWidth="1"/>
    <col min="12" max="12" width="61.109375" customWidth="1"/>
  </cols>
  <sheetData>
    <row r="1" spans="1:21" s="314" customFormat="1" ht="100.5" customHeight="1" thickBot="1">
      <c r="A1" s="1421"/>
      <c r="B1" s="1422"/>
      <c r="C1" s="1422"/>
      <c r="D1" s="1422"/>
      <c r="E1" s="1422"/>
      <c r="F1" s="1422"/>
      <c r="G1" s="1422"/>
      <c r="H1" s="1422"/>
      <c r="I1" s="1422"/>
      <c r="J1" s="1422"/>
      <c r="K1" s="1422"/>
      <c r="L1" s="1422"/>
      <c r="M1" s="1422"/>
      <c r="N1" s="1422"/>
      <c r="O1" s="1422"/>
      <c r="P1" s="1423"/>
      <c r="Q1"/>
      <c r="R1"/>
    </row>
    <row r="2" spans="1:21" s="315" customFormat="1" ht="16.2" thickBot="1">
      <c r="A2" s="1418" t="str">
        <f>+'Datos Generales'!C5</f>
        <v>Corporación Autónoma Regional del Atlántico – CRA</v>
      </c>
      <c r="B2" s="1419"/>
      <c r="C2" s="1419"/>
      <c r="D2" s="1419"/>
      <c r="E2" s="1419"/>
      <c r="F2" s="1419"/>
      <c r="G2" s="1419"/>
      <c r="H2" s="1419"/>
      <c r="I2" s="1419"/>
      <c r="J2" s="1419"/>
      <c r="K2" s="1419"/>
      <c r="L2" s="1419"/>
      <c r="M2" s="1419"/>
      <c r="N2" s="1419"/>
      <c r="O2" s="1419"/>
      <c r="P2" s="1420"/>
      <c r="Q2"/>
      <c r="R2"/>
    </row>
    <row r="3" spans="1:21" s="315" customFormat="1" ht="16.2" thickBot="1">
      <c r="A3" s="1426" t="s">
        <v>1295</v>
      </c>
      <c r="B3" s="1427"/>
      <c r="C3" s="1427"/>
      <c r="D3" s="1427"/>
      <c r="E3" s="1427"/>
      <c r="F3" s="1427"/>
      <c r="G3" s="1427"/>
      <c r="H3" s="1427"/>
      <c r="I3" s="1427"/>
      <c r="J3" s="1427"/>
      <c r="K3" s="1427"/>
      <c r="L3" s="1427"/>
      <c r="M3" s="1427"/>
      <c r="N3" s="1427"/>
      <c r="O3" s="1427"/>
      <c r="P3" s="1428"/>
      <c r="Q3"/>
      <c r="R3"/>
    </row>
    <row r="4" spans="1:21" s="315" customFormat="1" ht="16.2" thickBot="1">
      <c r="A4" s="1424" t="s">
        <v>1294</v>
      </c>
      <c r="B4" s="1425"/>
      <c r="C4" s="1425"/>
      <c r="D4" s="1425"/>
      <c r="E4" s="322" t="str">
        <f>+'Datos Generales'!C6</f>
        <v>2023-II</v>
      </c>
      <c r="F4" s="322"/>
      <c r="G4" s="322"/>
      <c r="H4" s="322"/>
      <c r="I4" s="322"/>
      <c r="J4" s="322"/>
      <c r="K4" s="322"/>
      <c r="L4" s="323"/>
      <c r="M4" s="323"/>
      <c r="N4" s="323"/>
      <c r="O4" s="323"/>
      <c r="P4" s="324"/>
      <c r="Q4"/>
      <c r="R4"/>
    </row>
    <row r="5" spans="1:21" ht="16.5" customHeight="1" thickBot="1">
      <c r="A5" s="1426" t="s">
        <v>525</v>
      </c>
      <c r="B5" s="1427"/>
      <c r="C5" s="1427"/>
      <c r="D5" s="1427"/>
      <c r="E5" s="1427"/>
      <c r="F5" s="1427"/>
      <c r="G5" s="1427"/>
      <c r="H5" s="1427"/>
      <c r="I5" s="1427"/>
      <c r="J5" s="1427"/>
      <c r="K5" s="1427"/>
      <c r="L5" s="1427"/>
      <c r="M5" s="1427"/>
      <c r="N5" s="1427"/>
      <c r="O5" s="1427"/>
      <c r="P5" s="1428"/>
    </row>
    <row r="6" spans="1:21">
      <c r="B6" s="1" t="s">
        <v>1</v>
      </c>
      <c r="C6" s="64"/>
      <c r="D6" s="5"/>
      <c r="E6" s="62"/>
      <c r="F6" s="5" t="s">
        <v>127</v>
      </c>
      <c r="G6" s="5"/>
      <c r="H6" s="5"/>
      <c r="I6" s="5"/>
      <c r="J6" s="5"/>
      <c r="K6" s="5"/>
    </row>
    <row r="7" spans="1:21" ht="15" thickBot="1">
      <c r="B7" s="63"/>
      <c r="C7" s="65"/>
      <c r="D7" s="5"/>
      <c r="E7" s="14"/>
      <c r="F7" s="5" t="s">
        <v>128</v>
      </c>
      <c r="G7" s="5"/>
      <c r="H7" s="5"/>
      <c r="I7" s="5"/>
      <c r="J7" s="5"/>
      <c r="K7" s="5"/>
    </row>
    <row r="8" spans="1:21" ht="15" thickBot="1">
      <c r="B8" s="144" t="s">
        <v>1180</v>
      </c>
      <c r="C8" s="571">
        <v>2023</v>
      </c>
      <c r="D8" s="171">
        <f>IF(E10="NO APLICA","NO APLICA",IF(E11="NO SE REPORTA","SIN INFORMACION",+K21))</f>
        <v>1</v>
      </c>
      <c r="E8" s="168"/>
      <c r="F8" s="5" t="s">
        <v>129</v>
      </c>
      <c r="G8" s="5"/>
      <c r="H8" s="5"/>
      <c r="I8" s="5"/>
      <c r="J8" s="5"/>
      <c r="K8" s="5"/>
    </row>
    <row r="9" spans="1:21">
      <c r="B9" s="300" t="s">
        <v>1181</v>
      </c>
      <c r="C9" s="67"/>
      <c r="D9" s="5"/>
      <c r="E9" s="5"/>
      <c r="F9" s="5"/>
      <c r="G9" s="5"/>
      <c r="H9" s="5"/>
      <c r="I9" s="5"/>
      <c r="J9" s="5"/>
      <c r="K9" s="5"/>
    </row>
    <row r="10" spans="1:21">
      <c r="B10" s="1429" t="s">
        <v>1236</v>
      </c>
      <c r="C10" s="1429"/>
      <c r="D10" s="1429"/>
      <c r="E10" s="303" t="s">
        <v>1233</v>
      </c>
      <c r="F10" s="1436"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437"/>
      <c r="H10" s="1437"/>
      <c r="I10" s="1437"/>
      <c r="J10" s="1437"/>
      <c r="K10" s="1437"/>
      <c r="L10" s="1437"/>
      <c r="M10" s="1437"/>
      <c r="N10" s="1437"/>
      <c r="O10" s="1437"/>
      <c r="P10" s="1437"/>
      <c r="Q10" s="1437"/>
      <c r="R10" s="1437"/>
      <c r="S10" s="1437"/>
      <c r="T10" s="5"/>
      <c r="U10" s="5"/>
    </row>
    <row r="11" spans="1:21" ht="14.4" customHeight="1">
      <c r="B11" s="302"/>
      <c r="C11" s="67"/>
      <c r="D11" s="144" t="str">
        <f>IF(E10="SI APLICA","¿El indicador no se reporta por limitaciones de información disponible? ","")</f>
        <v xml:space="preserve">¿El indicador no se reporta por limitaciones de información disponible? </v>
      </c>
      <c r="E11" s="304" t="s">
        <v>1235</v>
      </c>
      <c r="F11" s="1430"/>
      <c r="G11" s="1431"/>
      <c r="H11" s="1431"/>
      <c r="I11" s="1431"/>
      <c r="J11" s="1431"/>
      <c r="K11" s="1431"/>
      <c r="L11" s="1431"/>
      <c r="M11" s="1431"/>
      <c r="N11" s="1431"/>
      <c r="O11" s="1431"/>
      <c r="P11" s="1431"/>
      <c r="Q11" s="1431"/>
      <c r="R11" s="1431"/>
      <c r="S11" s="1431"/>
    </row>
    <row r="12" spans="1:21" ht="23.4" customHeight="1">
      <c r="B12" s="300"/>
      <c r="C12" s="67"/>
      <c r="D12" s="144" t="str">
        <f>IF(E11="SI SE REPORTA","¿Qué programas o proyectos del Plan de Acción están asociados al indicador? ","")</f>
        <v xml:space="preserve">¿Qué programas o proyectos del Plan de Acción están asociados al indicador? </v>
      </c>
      <c r="E12" s="1560" t="s">
        <v>1919</v>
      </c>
      <c r="F12" s="1560"/>
      <c r="G12" s="1560"/>
      <c r="H12" s="1560"/>
      <c r="I12" s="1560"/>
      <c r="J12" s="1560"/>
      <c r="K12" s="1560"/>
      <c r="L12" s="1560"/>
      <c r="M12" s="1560"/>
      <c r="N12" s="1560"/>
      <c r="O12" s="1560"/>
      <c r="P12" s="1560"/>
      <c r="Q12" s="1560"/>
      <c r="R12" s="1560"/>
    </row>
    <row r="13" spans="1:21" ht="147" customHeight="1">
      <c r="B13" s="300"/>
      <c r="C13" s="67"/>
      <c r="D13" s="144" t="s">
        <v>1238</v>
      </c>
      <c r="E13" s="1433" t="s">
        <v>1935</v>
      </c>
      <c r="F13" s="1434"/>
      <c r="G13" s="1434"/>
      <c r="H13" s="1434"/>
      <c r="I13" s="1434"/>
      <c r="J13" s="1434"/>
      <c r="K13" s="1434"/>
      <c r="L13" s="1434"/>
      <c r="M13" s="1434"/>
      <c r="N13" s="1434"/>
      <c r="O13" s="1434"/>
      <c r="P13" s="1434"/>
      <c r="Q13" s="1434"/>
      <c r="R13" s="1435"/>
    </row>
    <row r="14" spans="1:21" ht="6.9" customHeight="1" thickBot="1">
      <c r="B14" s="300"/>
      <c r="C14" s="67"/>
      <c r="D14" s="5"/>
      <c r="E14" s="5"/>
      <c r="F14" s="5"/>
      <c r="G14" s="5"/>
      <c r="H14" s="5"/>
      <c r="I14" s="5"/>
      <c r="J14" s="5"/>
      <c r="K14" s="5"/>
    </row>
    <row r="15" spans="1:21" ht="15" thickBot="1">
      <c r="B15" s="1640" t="s">
        <v>2</v>
      </c>
      <c r="C15" s="81"/>
      <c r="D15" s="1450" t="s">
        <v>335</v>
      </c>
      <c r="E15" s="1451"/>
      <c r="F15" s="1451"/>
      <c r="G15" s="1451"/>
      <c r="H15" s="1451"/>
      <c r="I15" s="1451"/>
      <c r="J15" s="1451"/>
      <c r="K15" s="1451"/>
      <c r="L15" s="1624"/>
    </row>
    <row r="16" spans="1:21" ht="15" thickBot="1">
      <c r="B16" s="1641"/>
      <c r="C16" s="87"/>
      <c r="D16" s="1452"/>
      <c r="E16" s="1658" t="s">
        <v>545</v>
      </c>
      <c r="F16" s="1659"/>
      <c r="G16" s="1660"/>
      <c r="H16" s="1658" t="s">
        <v>546</v>
      </c>
      <c r="I16" s="1659"/>
      <c r="J16" s="1660"/>
      <c r="K16" s="1459" t="s">
        <v>465</v>
      </c>
      <c r="L16" s="10"/>
    </row>
    <row r="17" spans="2:12" ht="15" thickBot="1">
      <c r="B17" s="1641"/>
      <c r="C17" s="87"/>
      <c r="D17" s="1474"/>
      <c r="E17" s="55" t="s">
        <v>505</v>
      </c>
      <c r="F17" s="55" t="s">
        <v>506</v>
      </c>
      <c r="G17" s="55" t="s">
        <v>547</v>
      </c>
      <c r="H17" s="55" t="s">
        <v>505</v>
      </c>
      <c r="I17" s="55" t="s">
        <v>506</v>
      </c>
      <c r="J17" s="55" t="s">
        <v>547</v>
      </c>
      <c r="K17" s="1461"/>
      <c r="L17" s="10"/>
    </row>
    <row r="18" spans="2:12" ht="33" customHeight="1" thickBot="1">
      <c r="B18" s="1641"/>
      <c r="C18" s="87"/>
      <c r="D18" s="32" t="s">
        <v>548</v>
      </c>
      <c r="E18" s="512">
        <v>2</v>
      </c>
      <c r="F18" s="512"/>
      <c r="G18" s="523">
        <f>+E18+F18</f>
        <v>2</v>
      </c>
      <c r="H18" s="512">
        <v>0</v>
      </c>
      <c r="I18" s="512">
        <v>0</v>
      </c>
      <c r="J18" s="523">
        <f>+H18+I18</f>
        <v>0</v>
      </c>
      <c r="K18" s="561">
        <f>+G18+J18</f>
        <v>2</v>
      </c>
      <c r="L18" s="592"/>
    </row>
    <row r="19" spans="2:12" ht="24.6" thickBot="1">
      <c r="B19" s="1641"/>
      <c r="C19" s="87"/>
      <c r="D19" s="543" t="s">
        <v>549</v>
      </c>
      <c r="E19" s="512">
        <v>2</v>
      </c>
      <c r="F19" s="512"/>
      <c r="G19" s="523">
        <f>+E19+F19</f>
        <v>2</v>
      </c>
      <c r="H19" s="512">
        <v>0</v>
      </c>
      <c r="I19" s="512">
        <v>0</v>
      </c>
      <c r="J19" s="523">
        <f>+H19+I19</f>
        <v>0</v>
      </c>
      <c r="K19" s="523">
        <f>+G19+J19</f>
        <v>2</v>
      </c>
      <c r="L19" s="563"/>
    </row>
    <row r="20" spans="2:12" ht="24.6" thickBot="1">
      <c r="B20" s="1641"/>
      <c r="C20" s="87"/>
      <c r="D20" s="543" t="s">
        <v>550</v>
      </c>
      <c r="E20" s="512">
        <v>2</v>
      </c>
      <c r="F20" s="512"/>
      <c r="G20" s="523">
        <f>+E20+F20</f>
        <v>2</v>
      </c>
      <c r="H20" s="512">
        <v>0</v>
      </c>
      <c r="I20" s="512">
        <v>0</v>
      </c>
      <c r="J20" s="523">
        <f>+H20+I20</f>
        <v>0</v>
      </c>
      <c r="K20" s="523">
        <f>+G20+J20</f>
        <v>2</v>
      </c>
      <c r="L20" s="10"/>
    </row>
    <row r="21" spans="2:12" ht="24.6" thickBot="1">
      <c r="B21" s="1641"/>
      <c r="C21" s="87"/>
      <c r="D21" s="32" t="s">
        <v>525</v>
      </c>
      <c r="E21" s="490">
        <f>IFERROR(E20/E19,"N.A.")</f>
        <v>1</v>
      </c>
      <c r="F21" s="490" t="str">
        <f t="shared" ref="F21:K21" si="0">IFERROR(F20/F19,"N.A.")</f>
        <v>N.A.</v>
      </c>
      <c r="G21" s="490">
        <f t="shared" si="0"/>
        <v>1</v>
      </c>
      <c r="H21" s="490" t="str">
        <f t="shared" si="0"/>
        <v>N.A.</v>
      </c>
      <c r="I21" s="490" t="str">
        <f t="shared" si="0"/>
        <v>N.A.</v>
      </c>
      <c r="J21" s="120" t="str">
        <f t="shared" si="0"/>
        <v>N.A.</v>
      </c>
      <c r="K21" s="120">
        <f t="shared" si="0"/>
        <v>1</v>
      </c>
      <c r="L21" s="10"/>
    </row>
    <row r="22" spans="2:12">
      <c r="B22" s="1641"/>
      <c r="C22" s="82"/>
      <c r="D22" s="1441"/>
      <c r="E22" s="1442"/>
      <c r="F22" s="1442"/>
      <c r="G22" s="1442"/>
      <c r="H22" s="1442"/>
      <c r="I22" s="1442"/>
      <c r="J22" s="1442"/>
      <c r="K22" s="1442"/>
      <c r="L22" s="1607"/>
    </row>
    <row r="23" spans="2:12">
      <c r="B23" s="1641"/>
      <c r="C23" s="82"/>
      <c r="D23" s="1453" t="s">
        <v>245</v>
      </c>
      <c r="E23" s="1454"/>
      <c r="F23" s="1454"/>
      <c r="G23" s="1454"/>
      <c r="H23" s="1454"/>
      <c r="I23" s="1454"/>
      <c r="J23" s="1454"/>
      <c r="K23" s="1454"/>
      <c r="L23" s="1608"/>
    </row>
    <row r="24" spans="2:12">
      <c r="B24" s="1641"/>
      <c r="C24" s="82"/>
      <c r="D24" s="1453" t="s">
        <v>551</v>
      </c>
      <c r="E24" s="1454"/>
      <c r="F24" s="1454"/>
      <c r="G24" s="1454"/>
      <c r="H24" s="1454"/>
      <c r="I24" s="1454"/>
      <c r="J24" s="1454"/>
      <c r="K24" s="1454"/>
      <c r="L24" s="1608"/>
    </row>
    <row r="25" spans="2:12" ht="15" thickBot="1">
      <c r="B25" s="1641"/>
      <c r="C25" s="82"/>
      <c r="D25" s="1472" t="s">
        <v>339</v>
      </c>
      <c r="E25" s="1473"/>
      <c r="F25" s="1473"/>
      <c r="G25" s="1473"/>
      <c r="H25" s="1473"/>
      <c r="I25" s="1473"/>
      <c r="J25" s="1473"/>
      <c r="K25" s="1473"/>
      <c r="L25" s="1609"/>
    </row>
    <row r="26" spans="2:12" ht="21" customHeight="1">
      <c r="B26" s="1641"/>
      <c r="C26" s="1562" t="s">
        <v>18</v>
      </c>
      <c r="D26" s="1652" t="s">
        <v>269</v>
      </c>
      <c r="E26" s="1654" t="s">
        <v>517</v>
      </c>
      <c r="F26" s="1654" t="s">
        <v>518</v>
      </c>
      <c r="G26" s="1654" t="s">
        <v>519</v>
      </c>
      <c r="H26" s="589" t="s">
        <v>472</v>
      </c>
      <c r="I26" s="589" t="s">
        <v>474</v>
      </c>
      <c r="J26" s="1656" t="s">
        <v>273</v>
      </c>
      <c r="K26" s="1656" t="s">
        <v>274</v>
      </c>
      <c r="L26" s="1656" t="s">
        <v>54</v>
      </c>
    </row>
    <row r="27" spans="2:12" ht="15" thickBot="1">
      <c r="B27" s="1641"/>
      <c r="C27" s="1563"/>
      <c r="D27" s="1653"/>
      <c r="E27" s="1655"/>
      <c r="F27" s="1655"/>
      <c r="G27" s="1655"/>
      <c r="H27" s="590" t="s">
        <v>473</v>
      </c>
      <c r="I27" s="590" t="s">
        <v>475</v>
      </c>
      <c r="J27" s="1657"/>
      <c r="K27" s="1657"/>
      <c r="L27" s="1657"/>
    </row>
    <row r="28" spans="2:12" ht="222.75" customHeight="1" thickBot="1">
      <c r="B28" s="1641"/>
      <c r="C28" s="223"/>
      <c r="D28" s="524" t="s">
        <v>1845</v>
      </c>
      <c r="E28" s="525" t="s">
        <v>1930</v>
      </c>
      <c r="F28" s="508" t="s">
        <v>1931</v>
      </c>
      <c r="G28" s="852" t="s">
        <v>2035</v>
      </c>
      <c r="H28" s="847">
        <v>300000000</v>
      </c>
      <c r="I28" s="847">
        <v>300000000</v>
      </c>
      <c r="J28" s="847">
        <v>300000000</v>
      </c>
      <c r="K28" s="847">
        <v>251570056</v>
      </c>
      <c r="L28" s="149" t="s">
        <v>2808</v>
      </c>
    </row>
    <row r="29" spans="2:12" ht="26.25" customHeight="1" thickBot="1">
      <c r="B29" s="1641"/>
      <c r="C29" s="223"/>
      <c r="D29" s="25"/>
      <c r="E29" s="25"/>
      <c r="F29" s="25"/>
      <c r="G29" s="25"/>
      <c r="H29" s="163"/>
      <c r="I29" s="163"/>
      <c r="J29" s="163"/>
      <c r="K29" s="163"/>
      <c r="L29" s="163"/>
    </row>
    <row r="30" spans="2:12" s="316" customFormat="1" ht="29.25" customHeight="1" thickBot="1">
      <c r="B30" s="1642"/>
      <c r="C30" s="158"/>
      <c r="D30" s="585"/>
      <c r="E30" s="500" t="s">
        <v>150</v>
      </c>
      <c r="F30" s="585"/>
      <c r="G30" s="585"/>
      <c r="H30" s="855">
        <f>SUM(H28:H29)</f>
        <v>300000000</v>
      </c>
      <c r="I30" s="855">
        <f>SUM(I28:I29)</f>
        <v>300000000</v>
      </c>
      <c r="J30" s="855">
        <f>SUM(J28:J29)</f>
        <v>300000000</v>
      </c>
      <c r="K30" s="855">
        <f>SUM(K28:K29)</f>
        <v>251570056</v>
      </c>
      <c r="L30" s="513"/>
    </row>
    <row r="31" spans="2:12" ht="36" customHeight="1" thickBot="1">
      <c r="B31" s="61" t="s">
        <v>33</v>
      </c>
      <c r="C31" s="86"/>
      <c r="D31" s="1462" t="s">
        <v>552</v>
      </c>
      <c r="E31" s="1463"/>
      <c r="F31" s="1463"/>
      <c r="G31" s="1463"/>
      <c r="H31" s="1463"/>
      <c r="I31" s="1463"/>
      <c r="J31" s="1463"/>
      <c r="K31" s="1463"/>
      <c r="L31" s="1606"/>
    </row>
    <row r="32" spans="2:12" ht="24" customHeight="1" thickBot="1">
      <c r="B32" s="61" t="s">
        <v>35</v>
      </c>
      <c r="C32" s="86"/>
      <c r="D32" s="1462" t="s">
        <v>553</v>
      </c>
      <c r="E32" s="1463"/>
      <c r="F32" s="1463"/>
      <c r="G32" s="1463"/>
      <c r="H32" s="1463"/>
      <c r="I32" s="1463"/>
      <c r="J32" s="1463"/>
      <c r="K32" s="1463"/>
      <c r="L32" s="1606"/>
    </row>
    <row r="33" spans="2:11" ht="15" thickBot="1">
      <c r="B33" s="1"/>
      <c r="C33" s="64"/>
      <c r="D33" s="5"/>
      <c r="E33" s="5"/>
      <c r="F33" s="5"/>
      <c r="G33" s="5"/>
      <c r="H33" s="5"/>
      <c r="I33" s="5"/>
      <c r="J33" s="5"/>
      <c r="K33" s="5"/>
    </row>
    <row r="34" spans="2:11" ht="24" customHeight="1" thickBot="1">
      <c r="B34" s="1469" t="s">
        <v>37</v>
      </c>
      <c r="C34" s="1470"/>
      <c r="D34" s="1470"/>
      <c r="E34" s="1471"/>
      <c r="F34" s="5"/>
      <c r="G34" s="5"/>
      <c r="H34" s="5"/>
      <c r="I34" s="5"/>
      <c r="J34" s="5"/>
      <c r="K34" s="5"/>
    </row>
    <row r="35" spans="2:11" ht="15" thickBot="1">
      <c r="B35" s="1459">
        <v>1</v>
      </c>
      <c r="C35" s="73"/>
      <c r="D35" s="38" t="s">
        <v>38</v>
      </c>
      <c r="E35" s="25" t="s">
        <v>1814</v>
      </c>
      <c r="F35" s="5"/>
      <c r="G35" s="5"/>
      <c r="H35" s="5"/>
      <c r="I35" s="5"/>
      <c r="J35" s="5"/>
      <c r="K35" s="5"/>
    </row>
    <row r="36" spans="2:11" ht="24.6" thickBot="1">
      <c r="B36" s="1460"/>
      <c r="C36" s="73"/>
      <c r="D36" s="32" t="s">
        <v>39</v>
      </c>
      <c r="E36" s="24" t="s">
        <v>1824</v>
      </c>
      <c r="F36" s="5"/>
      <c r="G36" s="5"/>
      <c r="H36" s="5"/>
      <c r="I36" s="5"/>
      <c r="J36" s="5"/>
      <c r="K36" s="5"/>
    </row>
    <row r="37" spans="2:11" ht="15" thickBot="1">
      <c r="B37" s="1460"/>
      <c r="C37" s="73"/>
      <c r="D37" s="32" t="s">
        <v>40</v>
      </c>
      <c r="E37" s="24" t="s">
        <v>2037</v>
      </c>
      <c r="F37" s="5"/>
      <c r="G37" s="5"/>
      <c r="H37" s="5"/>
      <c r="I37" s="5"/>
      <c r="J37" s="5"/>
      <c r="K37" s="5"/>
    </row>
    <row r="38" spans="2:11" ht="15" thickBot="1">
      <c r="B38" s="1460"/>
      <c r="C38" s="73"/>
      <c r="D38" s="32" t="s">
        <v>41</v>
      </c>
      <c r="E38" s="24" t="s">
        <v>2050</v>
      </c>
      <c r="F38" s="5"/>
      <c r="G38" s="5"/>
      <c r="H38" s="5"/>
      <c r="I38" s="5"/>
      <c r="J38" s="5"/>
      <c r="K38" s="5"/>
    </row>
    <row r="39" spans="2:11" ht="29.4" thickBot="1">
      <c r="B39" s="1460"/>
      <c r="C39" s="73"/>
      <c r="D39" s="32" t="s">
        <v>42</v>
      </c>
      <c r="E39" s="507" t="s">
        <v>1825</v>
      </c>
      <c r="F39" s="5"/>
      <c r="G39" s="5"/>
      <c r="H39" s="5"/>
      <c r="I39" s="5"/>
      <c r="J39" s="5"/>
      <c r="K39" s="5"/>
    </row>
    <row r="40" spans="2:11" ht="15" thickBot="1">
      <c r="B40" s="1460"/>
      <c r="C40" s="73"/>
      <c r="D40" s="32" t="s">
        <v>43</v>
      </c>
      <c r="E40" s="24" t="s">
        <v>1826</v>
      </c>
      <c r="F40" s="5"/>
      <c r="G40" s="5"/>
      <c r="H40" s="5"/>
      <c r="I40" s="5"/>
      <c r="J40" s="5"/>
      <c r="K40" s="5"/>
    </row>
    <row r="41" spans="2:11" ht="15" thickBot="1">
      <c r="B41" s="1461"/>
      <c r="C41" s="2"/>
      <c r="D41" s="32" t="s">
        <v>44</v>
      </c>
      <c r="E41" s="24" t="s">
        <v>1817</v>
      </c>
      <c r="F41" s="5"/>
      <c r="G41" s="5"/>
      <c r="H41" s="5"/>
      <c r="I41" s="5"/>
      <c r="J41" s="5"/>
      <c r="K41" s="5"/>
    </row>
    <row r="42" spans="2:11" ht="15" thickBot="1">
      <c r="B42" s="1"/>
      <c r="C42" s="64"/>
      <c r="D42" s="5"/>
      <c r="E42" s="5"/>
      <c r="F42" s="5"/>
      <c r="G42" s="5"/>
      <c r="H42" s="5"/>
      <c r="I42" s="5"/>
      <c r="J42" s="5"/>
      <c r="K42" s="5"/>
    </row>
    <row r="43" spans="2:11" ht="15" thickBot="1">
      <c r="B43" s="1469" t="s">
        <v>45</v>
      </c>
      <c r="C43" s="1470"/>
      <c r="D43" s="1470"/>
      <c r="E43" s="1471"/>
      <c r="F43" s="5"/>
      <c r="G43" s="5"/>
      <c r="H43" s="5"/>
      <c r="I43" s="5"/>
      <c r="J43" s="5"/>
      <c r="K43" s="5"/>
    </row>
    <row r="44" spans="2:11" ht="15" thickBot="1">
      <c r="B44" s="1459">
        <v>1</v>
      </c>
      <c r="C44" s="73"/>
      <c r="D44" s="38" t="s">
        <v>38</v>
      </c>
      <c r="E44" s="177" t="s">
        <v>46</v>
      </c>
      <c r="F44" s="5"/>
      <c r="G44" s="5"/>
      <c r="H44" s="5"/>
      <c r="I44" s="5"/>
      <c r="J44" s="5"/>
      <c r="K44" s="5"/>
    </row>
    <row r="45" spans="2:11" ht="15" thickBot="1">
      <c r="B45" s="1460"/>
      <c r="C45" s="73"/>
      <c r="D45" s="32" t="s">
        <v>39</v>
      </c>
      <c r="E45" s="177" t="s">
        <v>47</v>
      </c>
      <c r="F45" s="5"/>
      <c r="G45" s="5"/>
      <c r="H45" s="5"/>
      <c r="I45" s="5"/>
      <c r="J45" s="5"/>
      <c r="K45" s="5"/>
    </row>
    <row r="46" spans="2:11" ht="15" thickBot="1">
      <c r="B46" s="1460"/>
      <c r="C46" s="73"/>
      <c r="D46" s="32" t="s">
        <v>40</v>
      </c>
      <c r="E46" s="194"/>
      <c r="F46" s="5"/>
      <c r="G46" s="5"/>
      <c r="H46" s="5"/>
      <c r="I46" s="5"/>
      <c r="J46" s="5"/>
      <c r="K46" s="5"/>
    </row>
    <row r="47" spans="2:11" ht="15" thickBot="1">
      <c r="B47" s="1460"/>
      <c r="C47" s="73"/>
      <c r="D47" s="32" t="s">
        <v>41</v>
      </c>
      <c r="E47" s="194"/>
      <c r="F47" s="5"/>
      <c r="G47" s="5"/>
      <c r="H47" s="5"/>
      <c r="I47" s="5"/>
      <c r="J47" s="5"/>
      <c r="K47" s="5"/>
    </row>
    <row r="48" spans="2:11" ht="15" thickBot="1">
      <c r="B48" s="1460"/>
      <c r="C48" s="73"/>
      <c r="D48" s="32" t="s">
        <v>42</v>
      </c>
      <c r="E48" s="194"/>
      <c r="F48" s="5"/>
      <c r="G48" s="5"/>
      <c r="H48" s="5"/>
      <c r="I48" s="5"/>
      <c r="J48" s="5"/>
      <c r="K48" s="5"/>
    </row>
    <row r="49" spans="2:11" ht="15" thickBot="1">
      <c r="B49" s="1460"/>
      <c r="C49" s="73"/>
      <c r="D49" s="32" t="s">
        <v>43</v>
      </c>
      <c r="E49" s="194"/>
      <c r="F49" s="5"/>
      <c r="G49" s="5"/>
      <c r="H49" s="5"/>
      <c r="I49" s="5"/>
      <c r="J49" s="5"/>
      <c r="K49" s="5"/>
    </row>
    <row r="50" spans="2:11" ht="15" thickBot="1">
      <c r="B50" s="1461"/>
      <c r="C50" s="2"/>
      <c r="D50" s="32" t="s">
        <v>44</v>
      </c>
      <c r="E50" s="194"/>
      <c r="F50" s="5"/>
      <c r="G50" s="5"/>
      <c r="H50" s="5"/>
      <c r="I50" s="5"/>
      <c r="J50" s="5"/>
      <c r="K50" s="5"/>
    </row>
    <row r="51" spans="2:11" ht="15" thickBot="1">
      <c r="B51" s="1"/>
      <c r="C51" s="64"/>
      <c r="D51" s="5"/>
      <c r="E51" s="5"/>
      <c r="F51" s="5"/>
      <c r="G51" s="5"/>
      <c r="H51" s="5"/>
      <c r="I51" s="5"/>
      <c r="J51" s="5"/>
      <c r="K51" s="5"/>
    </row>
    <row r="52" spans="2:11" ht="15" customHeight="1" thickBot="1">
      <c r="B52" s="97" t="s">
        <v>48</v>
      </c>
      <c r="C52" s="98"/>
      <c r="D52" s="98"/>
      <c r="E52" s="99"/>
      <c r="G52" s="5"/>
      <c r="H52" s="5"/>
      <c r="I52" s="5"/>
      <c r="J52" s="5"/>
      <c r="K52" s="5"/>
    </row>
    <row r="53" spans="2:11" ht="24.6" thickBot="1">
      <c r="B53" s="37" t="s">
        <v>49</v>
      </c>
      <c r="C53" s="32" t="s">
        <v>50</v>
      </c>
      <c r="D53" s="32" t="s">
        <v>51</v>
      </c>
      <c r="E53" s="32" t="s">
        <v>52</v>
      </c>
      <c r="F53" s="5"/>
      <c r="G53" s="5"/>
      <c r="H53" s="5"/>
      <c r="I53" s="5"/>
      <c r="J53" s="5"/>
    </row>
    <row r="54" spans="2:11" ht="72.599999999999994" thickBot="1">
      <c r="B54" s="39">
        <v>42401</v>
      </c>
      <c r="C54" s="32">
        <v>0.01</v>
      </c>
      <c r="D54" s="40" t="s">
        <v>554</v>
      </c>
      <c r="E54" s="32"/>
      <c r="F54" s="5"/>
      <c r="G54" s="5"/>
      <c r="H54" s="5"/>
      <c r="I54" s="5"/>
      <c r="J54" s="5"/>
    </row>
    <row r="55" spans="2:11" ht="15" thickBot="1">
      <c r="B55" s="3"/>
      <c r="C55" s="74"/>
      <c r="D55" s="5"/>
      <c r="E55" s="5"/>
      <c r="F55" s="5"/>
      <c r="G55" s="5"/>
      <c r="H55" s="5"/>
      <c r="I55" s="5"/>
      <c r="J55" s="5"/>
      <c r="K55" s="5"/>
    </row>
    <row r="56" spans="2:11">
      <c r="B56" s="106" t="s">
        <v>54</v>
      </c>
      <c r="C56" s="75"/>
      <c r="D56" s="5"/>
      <c r="E56" s="5"/>
      <c r="F56" s="5"/>
      <c r="G56" s="5"/>
      <c r="H56" s="5"/>
      <c r="I56" s="5"/>
      <c r="J56" s="5"/>
      <c r="K56" s="5"/>
    </row>
    <row r="57" spans="2:11" ht="81" customHeight="1">
      <c r="B57" s="1661" t="s">
        <v>555</v>
      </c>
      <c r="C57" s="1662"/>
      <c r="D57" s="1663"/>
      <c r="E57" s="5"/>
      <c r="F57" s="5"/>
      <c r="G57" s="5"/>
      <c r="H57" s="5"/>
      <c r="I57" s="5"/>
      <c r="J57" s="5"/>
      <c r="K57" s="5"/>
    </row>
    <row r="58" spans="2:11">
      <c r="B58" s="1664"/>
      <c r="C58" s="1665"/>
      <c r="D58" s="1666"/>
      <c r="E58" s="5"/>
      <c r="F58" s="5"/>
      <c r="G58" s="5"/>
      <c r="H58" s="5"/>
      <c r="I58" s="5"/>
      <c r="J58" s="5"/>
      <c r="K58" s="5"/>
    </row>
    <row r="59" spans="2:11">
      <c r="B59" s="1"/>
      <c r="C59" s="64"/>
      <c r="D59" s="5"/>
      <c r="E59" s="5"/>
      <c r="F59" s="5"/>
      <c r="G59" s="5"/>
      <c r="H59" s="5"/>
      <c r="I59" s="5"/>
      <c r="J59" s="5"/>
      <c r="K59" s="5"/>
    </row>
    <row r="60" spans="2:11" ht="15" thickBot="1">
      <c r="B60" s="5"/>
      <c r="D60" s="5"/>
      <c r="E60" s="5"/>
      <c r="F60" s="5"/>
      <c r="G60" s="5"/>
      <c r="H60" s="5"/>
      <c r="I60" s="5"/>
      <c r="J60" s="5"/>
      <c r="K60" s="5"/>
    </row>
    <row r="61" spans="2:11" ht="24.6" thickBot="1">
      <c r="B61" s="41" t="s">
        <v>449</v>
      </c>
      <c r="C61" s="76"/>
      <c r="D61" s="5"/>
      <c r="E61" s="5"/>
      <c r="F61" s="5"/>
      <c r="G61" s="5"/>
      <c r="H61" s="5"/>
      <c r="I61" s="5"/>
      <c r="J61" s="5"/>
      <c r="K61" s="5"/>
    </row>
    <row r="62" spans="2:11" ht="15" thickBot="1">
      <c r="B62" s="29"/>
      <c r="C62" s="67"/>
      <c r="D62" s="5"/>
      <c r="E62" s="5"/>
      <c r="F62" s="5"/>
      <c r="G62" s="5"/>
      <c r="H62" s="5"/>
      <c r="I62" s="5"/>
      <c r="J62" s="5"/>
      <c r="K62" s="5"/>
    </row>
    <row r="63" spans="2:11" ht="72.599999999999994" thickBot="1">
      <c r="B63" s="42" t="s">
        <v>56</v>
      </c>
      <c r="C63" s="77"/>
      <c r="D63" s="34" t="s">
        <v>526</v>
      </c>
      <c r="E63" s="5"/>
      <c r="F63" s="5"/>
      <c r="G63" s="5"/>
      <c r="H63" s="5"/>
      <c r="I63" s="5"/>
      <c r="J63" s="5"/>
      <c r="K63" s="5"/>
    </row>
    <row r="64" spans="2:11">
      <c r="B64" s="1459" t="s">
        <v>58</v>
      </c>
      <c r="C64" s="73"/>
      <c r="D64" s="43" t="s">
        <v>59</v>
      </c>
      <c r="E64" s="5"/>
      <c r="F64" s="5"/>
      <c r="G64" s="5"/>
      <c r="H64" s="5"/>
      <c r="I64" s="5"/>
      <c r="J64" s="5"/>
      <c r="K64" s="5"/>
    </row>
    <row r="65" spans="2:11" ht="96">
      <c r="B65" s="1460"/>
      <c r="C65" s="73"/>
      <c r="D65" s="36" t="s">
        <v>527</v>
      </c>
      <c r="E65" s="5"/>
      <c r="F65" s="5"/>
      <c r="G65" s="5"/>
      <c r="H65" s="5"/>
      <c r="I65" s="5"/>
      <c r="J65" s="5"/>
      <c r="K65" s="5"/>
    </row>
    <row r="66" spans="2:11">
      <c r="B66" s="1460"/>
      <c r="C66" s="73"/>
      <c r="D66" s="43" t="s">
        <v>62</v>
      </c>
      <c r="E66" s="5"/>
      <c r="F66" s="5"/>
      <c r="G66" s="5"/>
      <c r="H66" s="5"/>
      <c r="I66" s="5"/>
      <c r="J66" s="5"/>
      <c r="K66" s="5"/>
    </row>
    <row r="67" spans="2:11">
      <c r="B67" s="1460"/>
      <c r="C67" s="73"/>
      <c r="D67" s="36" t="s">
        <v>164</v>
      </c>
      <c r="E67" s="5"/>
      <c r="F67" s="5"/>
      <c r="G67" s="5"/>
      <c r="H67" s="5"/>
      <c r="I67" s="5"/>
      <c r="J67" s="5"/>
      <c r="K67" s="5"/>
    </row>
    <row r="68" spans="2:11" ht="24">
      <c r="B68" s="1460"/>
      <c r="C68" s="73"/>
      <c r="D68" s="36" t="s">
        <v>528</v>
      </c>
      <c r="E68" s="5"/>
      <c r="F68" s="5"/>
      <c r="G68" s="5"/>
      <c r="H68" s="5"/>
      <c r="I68" s="5"/>
      <c r="J68" s="5"/>
      <c r="K68" s="5"/>
    </row>
    <row r="69" spans="2:11">
      <c r="B69" s="1460"/>
      <c r="C69" s="73"/>
      <c r="D69" s="36" t="s">
        <v>529</v>
      </c>
      <c r="E69" s="5"/>
      <c r="F69" s="5"/>
      <c r="G69" s="5"/>
      <c r="H69" s="5"/>
      <c r="I69" s="5"/>
      <c r="J69" s="5"/>
      <c r="K69" s="5"/>
    </row>
    <row r="70" spans="2:11">
      <c r="B70" s="1460"/>
      <c r="C70" s="73"/>
      <c r="D70" s="36" t="s">
        <v>530</v>
      </c>
      <c r="E70" s="5"/>
      <c r="F70" s="5"/>
      <c r="G70" s="5"/>
      <c r="H70" s="5"/>
      <c r="I70" s="5"/>
      <c r="J70" s="5"/>
      <c r="K70" s="5"/>
    </row>
    <row r="71" spans="2:11">
      <c r="B71" s="1460"/>
      <c r="C71" s="73"/>
      <c r="D71" s="36" t="s">
        <v>531</v>
      </c>
      <c r="E71" s="5"/>
      <c r="F71" s="5"/>
      <c r="G71" s="5"/>
      <c r="H71" s="5"/>
      <c r="I71" s="5"/>
      <c r="J71" s="5"/>
      <c r="K71" s="5"/>
    </row>
    <row r="72" spans="2:11" ht="24">
      <c r="B72" s="1460"/>
      <c r="C72" s="73"/>
      <c r="D72" s="36" t="s">
        <v>532</v>
      </c>
      <c r="E72" s="5"/>
      <c r="F72" s="5"/>
      <c r="G72" s="5"/>
      <c r="H72" s="5"/>
      <c r="I72" s="5"/>
      <c r="J72" s="5"/>
      <c r="K72" s="5"/>
    </row>
    <row r="73" spans="2:11">
      <c r="B73" s="1460"/>
      <c r="C73" s="73"/>
      <c r="D73" s="43" t="s">
        <v>287</v>
      </c>
      <c r="E73" s="5"/>
      <c r="F73" s="5"/>
      <c r="G73" s="5"/>
      <c r="H73" s="5"/>
      <c r="I73" s="5"/>
      <c r="J73" s="5"/>
      <c r="K73" s="5"/>
    </row>
    <row r="74" spans="2:11" ht="24">
      <c r="B74" s="1460"/>
      <c r="C74" s="73"/>
      <c r="D74" s="36" t="s">
        <v>352</v>
      </c>
      <c r="E74" s="5"/>
      <c r="F74" s="5"/>
      <c r="G74" s="5"/>
      <c r="H74" s="5"/>
      <c r="I74" s="5"/>
      <c r="J74" s="5"/>
      <c r="K74" s="5"/>
    </row>
    <row r="75" spans="2:11" ht="36">
      <c r="B75" s="1460"/>
      <c r="C75" s="73"/>
      <c r="D75" s="36" t="s">
        <v>533</v>
      </c>
      <c r="E75" s="5"/>
      <c r="F75" s="5"/>
      <c r="G75" s="5"/>
      <c r="H75" s="5"/>
      <c r="I75" s="5"/>
      <c r="J75" s="5"/>
      <c r="K75" s="5"/>
    </row>
    <row r="76" spans="2:11" ht="72.599999999999994" thickBot="1">
      <c r="B76" s="1461"/>
      <c r="C76" s="2"/>
      <c r="D76" s="32" t="s">
        <v>534</v>
      </c>
      <c r="E76" s="5"/>
      <c r="F76" s="5"/>
      <c r="G76" s="5"/>
      <c r="H76" s="5"/>
      <c r="I76" s="5"/>
      <c r="J76" s="5"/>
      <c r="K76" s="5"/>
    </row>
    <row r="77" spans="2:11" ht="24.6" thickBot="1">
      <c r="B77" s="37" t="s">
        <v>71</v>
      </c>
      <c r="C77" s="2"/>
      <c r="D77" s="32"/>
      <c r="E77" s="5"/>
      <c r="F77" s="5"/>
      <c r="G77" s="5"/>
      <c r="H77" s="5"/>
      <c r="I77" s="5"/>
      <c r="J77" s="5"/>
      <c r="K77" s="5"/>
    </row>
    <row r="78" spans="2:11" ht="72">
      <c r="B78" s="1459" t="s">
        <v>72</v>
      </c>
      <c r="C78" s="73"/>
      <c r="D78" s="36" t="s">
        <v>535</v>
      </c>
      <c r="E78" s="5"/>
      <c r="F78" s="5"/>
      <c r="G78" s="5"/>
      <c r="H78" s="5"/>
      <c r="I78" s="5"/>
      <c r="J78" s="5"/>
      <c r="K78" s="5"/>
    </row>
    <row r="79" spans="2:11" ht="84">
      <c r="B79" s="1460"/>
      <c r="C79" s="73"/>
      <c r="D79" s="36" t="s">
        <v>536</v>
      </c>
      <c r="E79" s="5"/>
      <c r="F79" s="5"/>
      <c r="G79" s="5"/>
      <c r="H79" s="5"/>
      <c r="I79" s="5"/>
      <c r="J79" s="5"/>
      <c r="K79" s="5"/>
    </row>
    <row r="80" spans="2:11" ht="120">
      <c r="B80" s="1460"/>
      <c r="C80" s="73"/>
      <c r="D80" s="36" t="s">
        <v>537</v>
      </c>
      <c r="E80" s="5"/>
      <c r="F80" s="5"/>
      <c r="G80" s="5"/>
      <c r="H80" s="5"/>
      <c r="I80" s="5"/>
      <c r="J80" s="5"/>
      <c r="K80" s="5"/>
    </row>
    <row r="81" spans="2:11" ht="132.6" thickBot="1">
      <c r="B81" s="1461"/>
      <c r="C81" s="2"/>
      <c r="D81" s="32" t="s">
        <v>538</v>
      </c>
      <c r="E81" s="5"/>
      <c r="F81" s="5"/>
      <c r="G81" s="5"/>
      <c r="H81" s="5"/>
      <c r="I81" s="5"/>
      <c r="J81" s="5"/>
      <c r="K81" s="5"/>
    </row>
    <row r="82" spans="2:11" ht="24">
      <c r="B82" s="1459" t="s">
        <v>89</v>
      </c>
      <c r="C82" s="73"/>
      <c r="D82" s="43" t="s">
        <v>525</v>
      </c>
      <c r="E82" s="5"/>
      <c r="F82" s="5"/>
      <c r="G82" s="5"/>
      <c r="H82" s="5"/>
      <c r="I82" s="5"/>
      <c r="J82" s="5"/>
      <c r="K82" s="5"/>
    </row>
    <row r="83" spans="2:11">
      <c r="B83" s="1460"/>
      <c r="C83" s="73"/>
      <c r="D83" s="36" t="s">
        <v>496</v>
      </c>
      <c r="E83" s="5"/>
      <c r="F83" s="5"/>
      <c r="G83" s="5"/>
      <c r="H83" s="5"/>
      <c r="I83" s="5"/>
      <c r="J83" s="5"/>
      <c r="K83" s="5"/>
    </row>
    <row r="84" spans="2:11">
      <c r="B84" s="1460"/>
      <c r="C84" s="73"/>
      <c r="D84" s="36" t="s">
        <v>90</v>
      </c>
      <c r="E84" s="5"/>
      <c r="F84" s="5"/>
      <c r="G84" s="5"/>
      <c r="H84" s="5"/>
      <c r="I84" s="5"/>
      <c r="J84" s="5"/>
      <c r="K84" s="5"/>
    </row>
    <row r="85" spans="2:11" ht="38.4">
      <c r="B85" s="1460"/>
      <c r="C85" s="73"/>
      <c r="D85" s="36" t="s">
        <v>539</v>
      </c>
      <c r="E85" s="5"/>
      <c r="F85" s="5"/>
      <c r="G85" s="5"/>
      <c r="H85" s="5"/>
      <c r="I85" s="5"/>
      <c r="J85" s="5"/>
      <c r="K85" s="5"/>
    </row>
    <row r="86" spans="2:11" ht="38.4">
      <c r="B86" s="1460"/>
      <c r="C86" s="73"/>
      <c r="D86" s="36" t="s">
        <v>540</v>
      </c>
      <c r="E86" s="5"/>
      <c r="F86" s="5"/>
      <c r="G86" s="5"/>
      <c r="H86" s="5"/>
      <c r="I86" s="5"/>
      <c r="J86" s="5"/>
      <c r="K86" s="5"/>
    </row>
    <row r="87" spans="2:11" ht="38.4">
      <c r="B87" s="1460"/>
      <c r="C87" s="73"/>
      <c r="D87" s="36" t="s">
        <v>541</v>
      </c>
      <c r="E87" s="5"/>
      <c r="F87" s="5"/>
      <c r="G87" s="5"/>
      <c r="H87" s="5"/>
      <c r="I87" s="5"/>
      <c r="J87" s="5"/>
      <c r="K87" s="5"/>
    </row>
    <row r="88" spans="2:11" ht="72">
      <c r="B88" s="1460"/>
      <c r="C88" s="73"/>
      <c r="D88" s="44" t="s">
        <v>234</v>
      </c>
      <c r="E88" s="5"/>
      <c r="F88" s="5"/>
      <c r="G88" s="5"/>
      <c r="H88" s="5"/>
      <c r="I88" s="5"/>
      <c r="J88" s="5"/>
      <c r="K88" s="5"/>
    </row>
    <row r="89" spans="2:11">
      <c r="B89" s="1460"/>
      <c r="C89" s="73"/>
      <c r="D89" s="43" t="s">
        <v>245</v>
      </c>
      <c r="E89" s="5"/>
      <c r="F89" s="5"/>
      <c r="G89" s="5"/>
      <c r="H89" s="5"/>
      <c r="I89" s="5"/>
      <c r="J89" s="5"/>
      <c r="K89" s="5"/>
    </row>
    <row r="90" spans="2:11" ht="24">
      <c r="B90" s="1460"/>
      <c r="C90" s="73"/>
      <c r="D90" s="43" t="s">
        <v>542</v>
      </c>
      <c r="E90" s="5"/>
      <c r="F90" s="5"/>
      <c r="G90" s="5"/>
      <c r="H90" s="5"/>
      <c r="I90" s="5"/>
      <c r="J90" s="5"/>
      <c r="K90" s="5"/>
    </row>
    <row r="91" spans="2:11">
      <c r="B91" s="1460"/>
      <c r="C91" s="73"/>
      <c r="D91" s="13"/>
      <c r="E91" s="5"/>
      <c r="F91" s="5"/>
      <c r="G91" s="5"/>
      <c r="H91" s="5"/>
      <c r="I91" s="5"/>
      <c r="J91" s="5"/>
      <c r="K91" s="5"/>
    </row>
    <row r="92" spans="2:11">
      <c r="B92" s="1460"/>
      <c r="C92" s="73"/>
      <c r="D92" s="36" t="s">
        <v>90</v>
      </c>
      <c r="E92" s="5"/>
      <c r="F92" s="5"/>
      <c r="G92" s="5"/>
      <c r="H92" s="5"/>
      <c r="I92" s="5"/>
      <c r="J92" s="5"/>
      <c r="K92" s="5"/>
    </row>
    <row r="93" spans="2:11" ht="38.4">
      <c r="B93" s="1460"/>
      <c r="C93" s="73"/>
      <c r="D93" s="36" t="s">
        <v>543</v>
      </c>
      <c r="E93" s="5"/>
      <c r="F93" s="5"/>
      <c r="G93" s="5"/>
      <c r="H93" s="5"/>
      <c r="I93" s="5"/>
      <c r="J93" s="5"/>
      <c r="K93" s="5"/>
    </row>
    <row r="94" spans="2:11" ht="39" thickBot="1">
      <c r="B94" s="1461"/>
      <c r="C94" s="2"/>
      <c r="D94" s="32" t="s">
        <v>544</v>
      </c>
      <c r="E94" s="5"/>
      <c r="F94" s="5"/>
      <c r="G94" s="5"/>
      <c r="H94" s="5"/>
      <c r="I94" s="5"/>
      <c r="J94" s="5"/>
      <c r="K94" s="5"/>
    </row>
    <row r="95" spans="2:11">
      <c r="B95" s="5"/>
      <c r="D95" s="5"/>
      <c r="E95" s="5"/>
      <c r="F95" s="5"/>
      <c r="G95" s="5"/>
      <c r="H95" s="5"/>
      <c r="I95" s="5"/>
      <c r="J95" s="5"/>
      <c r="K95" s="5"/>
    </row>
    <row r="96" spans="2:11">
      <c r="B96" s="5"/>
      <c r="D96" s="5"/>
      <c r="E96" s="5"/>
      <c r="F96" s="5"/>
      <c r="G96" s="5"/>
      <c r="H96" s="5"/>
      <c r="I96" s="5"/>
      <c r="J96" s="5"/>
      <c r="K96" s="5"/>
    </row>
    <row r="97" spans="2:11">
      <c r="B97" s="5"/>
      <c r="D97" s="5"/>
      <c r="E97" s="5"/>
      <c r="F97" s="5"/>
      <c r="G97" s="5"/>
      <c r="H97" s="5"/>
      <c r="I97" s="5"/>
      <c r="J97" s="5"/>
      <c r="K97" s="5"/>
    </row>
    <row r="98" spans="2:11">
      <c r="B98" s="5"/>
      <c r="D98" s="5"/>
      <c r="E98" s="5"/>
      <c r="F98" s="5"/>
      <c r="G98" s="5"/>
      <c r="H98" s="5"/>
      <c r="I98" s="5"/>
      <c r="J98" s="5"/>
      <c r="K98" s="5"/>
    </row>
    <row r="99" spans="2:11">
      <c r="B99" s="5"/>
      <c r="D99" s="5"/>
      <c r="E99" s="5"/>
      <c r="F99" s="5"/>
      <c r="G99" s="5"/>
      <c r="H99" s="5"/>
      <c r="I99" s="5"/>
      <c r="J99" s="5"/>
      <c r="K99" s="5"/>
    </row>
    <row r="100" spans="2:11">
      <c r="B100" s="5"/>
      <c r="D100" s="5"/>
      <c r="E100" s="5"/>
      <c r="F100" s="5"/>
      <c r="G100" s="5"/>
      <c r="H100" s="5"/>
      <c r="I100" s="5"/>
      <c r="J100" s="5"/>
      <c r="K100" s="5"/>
    </row>
    <row r="101" spans="2:11">
      <c r="B101" s="5"/>
      <c r="D101" s="5"/>
      <c r="E101" s="5"/>
      <c r="F101" s="5"/>
      <c r="G101" s="5"/>
      <c r="H101" s="5"/>
      <c r="I101" s="5"/>
      <c r="J101" s="5"/>
      <c r="K101" s="5"/>
    </row>
    <row r="102" spans="2:11">
      <c r="B102" s="5"/>
      <c r="D102" s="5"/>
      <c r="E102" s="5"/>
      <c r="F102" s="5"/>
      <c r="G102" s="5"/>
      <c r="H102" s="5"/>
      <c r="I102" s="5"/>
      <c r="J102" s="5"/>
      <c r="K102" s="5"/>
    </row>
    <row r="103" spans="2:11">
      <c r="B103" s="5"/>
      <c r="D103" s="5"/>
      <c r="E103" s="5"/>
      <c r="F103" s="5"/>
      <c r="G103" s="5"/>
      <c r="H103" s="5"/>
      <c r="I103" s="5"/>
      <c r="J103" s="5"/>
      <c r="K103" s="5"/>
    </row>
    <row r="104" spans="2:11">
      <c r="B104" s="5"/>
      <c r="D104" s="5"/>
      <c r="E104" s="5"/>
      <c r="F104" s="5"/>
      <c r="G104" s="5"/>
      <c r="H104" s="5"/>
      <c r="I104" s="5"/>
      <c r="J104" s="5"/>
      <c r="K104" s="5"/>
    </row>
    <row r="105" spans="2:11">
      <c r="B105" s="5"/>
      <c r="D105" s="5"/>
      <c r="E105" s="5"/>
      <c r="F105" s="5"/>
      <c r="G105" s="5"/>
      <c r="H105" s="5"/>
      <c r="I105" s="5"/>
      <c r="J105" s="5"/>
      <c r="K105" s="5"/>
    </row>
    <row r="106" spans="2:11">
      <c r="B106" s="5"/>
      <c r="D106" s="5"/>
      <c r="E106" s="5"/>
      <c r="F106" s="5"/>
      <c r="G106" s="5"/>
      <c r="H106" s="5"/>
      <c r="I106" s="5"/>
      <c r="J106" s="5"/>
      <c r="K106" s="5"/>
    </row>
    <row r="107" spans="2:11">
      <c r="B107" s="5"/>
      <c r="D107" s="5"/>
      <c r="E107" s="5"/>
      <c r="F107" s="5"/>
      <c r="G107" s="5"/>
      <c r="H107" s="5"/>
      <c r="I107" s="5"/>
      <c r="J107" s="5"/>
      <c r="K107" s="5"/>
    </row>
    <row r="108" spans="2:11">
      <c r="B108" s="5"/>
      <c r="D108" s="5"/>
      <c r="E108" s="5"/>
      <c r="F108" s="5"/>
      <c r="G108" s="5"/>
      <c r="H108" s="5"/>
      <c r="I108" s="5"/>
      <c r="J108" s="5"/>
      <c r="K108" s="5"/>
    </row>
    <row r="109" spans="2:11">
      <c r="B109" s="5"/>
      <c r="D109" s="5"/>
      <c r="E109" s="5"/>
      <c r="F109" s="5"/>
      <c r="G109" s="5"/>
      <c r="H109" s="5"/>
      <c r="I109" s="5"/>
      <c r="J109" s="5"/>
      <c r="K109" s="5"/>
    </row>
    <row r="110" spans="2:11">
      <c r="B110" s="5"/>
      <c r="D110" s="5"/>
      <c r="E110" s="5"/>
      <c r="F110" s="5"/>
      <c r="G110" s="5"/>
      <c r="H110" s="5"/>
      <c r="I110" s="5"/>
      <c r="J110" s="5"/>
      <c r="K110" s="5"/>
    </row>
    <row r="111" spans="2:11">
      <c r="B111" s="5"/>
      <c r="D111" s="5"/>
      <c r="E111" s="5"/>
      <c r="F111" s="5"/>
      <c r="G111" s="5"/>
      <c r="H111" s="5"/>
      <c r="I111" s="5"/>
      <c r="J111" s="5"/>
      <c r="K111" s="5"/>
    </row>
    <row r="112" spans="2:11">
      <c r="B112" s="5"/>
      <c r="D112" s="5"/>
      <c r="E112" s="5"/>
      <c r="F112" s="5"/>
      <c r="G112" s="5"/>
      <c r="H112" s="5"/>
      <c r="I112" s="5"/>
      <c r="J112" s="5"/>
      <c r="K112" s="5"/>
    </row>
    <row r="113" spans="2:11">
      <c r="B113" s="5"/>
      <c r="D113" s="5"/>
      <c r="E113" s="5"/>
      <c r="F113" s="5"/>
      <c r="G113" s="5"/>
      <c r="H113" s="5"/>
      <c r="I113" s="5"/>
      <c r="J113" s="5"/>
      <c r="K113" s="5"/>
    </row>
    <row r="114" spans="2:11">
      <c r="B114" s="5"/>
      <c r="D114" s="5"/>
      <c r="E114" s="5"/>
      <c r="F114" s="5"/>
      <c r="G114" s="5"/>
      <c r="H114" s="5"/>
      <c r="I114" s="5"/>
      <c r="J114" s="5"/>
      <c r="K114" s="5"/>
    </row>
    <row r="115" spans="2:11">
      <c r="B115" s="5"/>
      <c r="D115" s="5"/>
      <c r="E115" s="5"/>
      <c r="F115" s="5"/>
      <c r="G115" s="5"/>
      <c r="H115" s="5"/>
      <c r="I115" s="5"/>
      <c r="J115" s="5"/>
      <c r="K115" s="5"/>
    </row>
    <row r="116" spans="2:11">
      <c r="B116" s="5"/>
      <c r="D116" s="5"/>
      <c r="E116" s="5"/>
      <c r="F116" s="5"/>
      <c r="G116" s="5"/>
      <c r="H116" s="5"/>
      <c r="I116" s="5"/>
      <c r="J116" s="5"/>
      <c r="K116" s="5"/>
    </row>
    <row r="117" spans="2:11">
      <c r="B117" s="5"/>
      <c r="D117" s="5"/>
      <c r="E117" s="5"/>
      <c r="F117" s="5"/>
      <c r="G117" s="5"/>
      <c r="H117" s="5"/>
      <c r="I117" s="5"/>
      <c r="J117" s="5"/>
      <c r="K117" s="5"/>
    </row>
    <row r="118" spans="2:11">
      <c r="B118" s="5"/>
      <c r="D118" s="5"/>
      <c r="E118" s="5"/>
      <c r="F118" s="5"/>
      <c r="G118" s="5"/>
      <c r="H118" s="5"/>
      <c r="I118" s="5"/>
      <c r="J118" s="5"/>
      <c r="K118" s="5"/>
    </row>
    <row r="119" spans="2:11">
      <c r="B119" s="5"/>
      <c r="D119" s="5"/>
      <c r="E119" s="5"/>
      <c r="F119" s="5"/>
      <c r="G119" s="5"/>
      <c r="H119" s="5"/>
      <c r="I119" s="5"/>
      <c r="J119" s="5"/>
      <c r="K119" s="5"/>
    </row>
    <row r="120" spans="2:11">
      <c r="B120" s="5"/>
      <c r="D120" s="5"/>
      <c r="E120" s="5"/>
      <c r="F120" s="5"/>
      <c r="G120" s="5"/>
      <c r="H120" s="5"/>
      <c r="I120" s="5"/>
      <c r="J120" s="5"/>
      <c r="K120" s="5"/>
    </row>
    <row r="121" spans="2:11">
      <c r="B121" s="5"/>
      <c r="D121" s="5"/>
      <c r="E121" s="5"/>
      <c r="F121" s="5"/>
      <c r="G121" s="5"/>
      <c r="H121" s="5"/>
      <c r="I121" s="5"/>
      <c r="J121" s="5"/>
      <c r="K121" s="5"/>
    </row>
    <row r="122" spans="2:11">
      <c r="B122" s="5"/>
      <c r="D122" s="5"/>
      <c r="E122" s="5"/>
      <c r="F122" s="5"/>
      <c r="G122" s="5"/>
      <c r="H122" s="5"/>
      <c r="I122" s="5"/>
      <c r="J122" s="5"/>
      <c r="K122" s="5"/>
    </row>
    <row r="123" spans="2:11">
      <c r="B123" s="5"/>
      <c r="D123" s="5"/>
      <c r="E123" s="5"/>
      <c r="F123" s="5"/>
      <c r="G123" s="5"/>
      <c r="H123" s="5"/>
      <c r="I123" s="5"/>
      <c r="J123" s="5"/>
      <c r="K123" s="5"/>
    </row>
    <row r="124" spans="2:11">
      <c r="B124" s="5"/>
      <c r="D124" s="5"/>
      <c r="E124" s="5"/>
      <c r="F124" s="5"/>
      <c r="G124" s="5"/>
      <c r="H124" s="5"/>
      <c r="I124" s="5"/>
      <c r="J124" s="5"/>
      <c r="K124" s="5"/>
    </row>
    <row r="125" spans="2:11">
      <c r="B125" s="5"/>
      <c r="D125" s="5"/>
      <c r="E125" s="5"/>
      <c r="F125" s="5"/>
      <c r="G125" s="5"/>
      <c r="H125" s="5"/>
      <c r="I125" s="5"/>
      <c r="J125" s="5"/>
      <c r="K125" s="5"/>
    </row>
    <row r="126" spans="2:11">
      <c r="B126" s="5"/>
      <c r="D126" s="5"/>
      <c r="E126" s="5"/>
      <c r="F126" s="5"/>
      <c r="G126" s="5"/>
      <c r="H126" s="5"/>
      <c r="I126" s="5"/>
      <c r="J126" s="5"/>
      <c r="K126" s="5"/>
    </row>
    <row r="127" spans="2:11">
      <c r="B127" s="5"/>
      <c r="D127" s="5"/>
      <c r="E127" s="5"/>
      <c r="F127" s="5"/>
      <c r="G127" s="5"/>
      <c r="H127" s="5"/>
      <c r="I127" s="5"/>
      <c r="J127" s="5"/>
      <c r="K127" s="5"/>
    </row>
    <row r="128" spans="2:11">
      <c r="B128" s="5"/>
      <c r="D128" s="5"/>
      <c r="E128" s="5"/>
      <c r="F128" s="5"/>
      <c r="G128" s="5"/>
      <c r="H128" s="5"/>
      <c r="I128" s="5"/>
      <c r="J128" s="5"/>
      <c r="K128" s="5"/>
    </row>
    <row r="129" spans="2:11">
      <c r="B129" s="5"/>
      <c r="D129" s="5"/>
      <c r="E129" s="5"/>
      <c r="F129" s="5"/>
      <c r="G129" s="5"/>
      <c r="H129" s="5"/>
      <c r="I129" s="5"/>
      <c r="J129" s="5"/>
      <c r="K129" s="5"/>
    </row>
    <row r="130" spans="2:11">
      <c r="B130" s="5"/>
      <c r="D130" s="5"/>
      <c r="E130" s="5"/>
      <c r="F130" s="5"/>
      <c r="G130" s="5"/>
      <c r="H130" s="5"/>
      <c r="I130" s="5"/>
      <c r="J130" s="5"/>
      <c r="K130" s="5"/>
    </row>
    <row r="131" spans="2:11">
      <c r="B131" s="5"/>
      <c r="D131" s="5"/>
      <c r="E131" s="5"/>
      <c r="F131" s="5"/>
      <c r="G131" s="5"/>
      <c r="H131" s="5"/>
      <c r="I131" s="5"/>
      <c r="J131" s="5"/>
      <c r="K131" s="5"/>
    </row>
    <row r="132" spans="2:11">
      <c r="B132" s="5"/>
      <c r="D132" s="5"/>
      <c r="E132" s="5"/>
      <c r="F132" s="5"/>
      <c r="G132" s="5"/>
      <c r="H132" s="5"/>
      <c r="I132" s="5"/>
      <c r="J132" s="5"/>
      <c r="K132" s="5"/>
    </row>
    <row r="133" spans="2:11">
      <c r="B133" s="5"/>
      <c r="D133" s="5"/>
      <c r="E133" s="5"/>
      <c r="F133" s="5"/>
      <c r="G133" s="5"/>
      <c r="H133" s="5"/>
      <c r="I133" s="5"/>
      <c r="J133" s="5"/>
      <c r="K133" s="5"/>
    </row>
    <row r="134" spans="2:11">
      <c r="B134" s="5"/>
      <c r="D134" s="5"/>
      <c r="E134" s="5"/>
      <c r="F134" s="5"/>
      <c r="G134" s="5"/>
      <c r="H134" s="5"/>
      <c r="I134" s="5"/>
      <c r="J134" s="5"/>
      <c r="K134" s="5"/>
    </row>
    <row r="135" spans="2:11">
      <c r="B135" s="5"/>
      <c r="D135" s="5"/>
      <c r="E135" s="5"/>
      <c r="F135" s="5"/>
      <c r="G135" s="5"/>
      <c r="H135" s="5"/>
      <c r="I135" s="5"/>
      <c r="J135" s="5"/>
      <c r="K135" s="5"/>
    </row>
    <row r="136" spans="2:11">
      <c r="B136" s="5"/>
      <c r="D136" s="5"/>
      <c r="E136" s="5"/>
      <c r="F136" s="5"/>
      <c r="G136" s="5"/>
      <c r="H136" s="5"/>
      <c r="I136" s="5"/>
      <c r="J136" s="5"/>
      <c r="K136" s="5"/>
    </row>
    <row r="137" spans="2:11">
      <c r="B137" s="5"/>
      <c r="D137" s="5"/>
      <c r="E137" s="5"/>
      <c r="F137" s="5"/>
      <c r="G137" s="5"/>
      <c r="H137" s="5"/>
      <c r="I137" s="5"/>
      <c r="J137" s="5"/>
      <c r="K137" s="5"/>
    </row>
    <row r="138" spans="2:11">
      <c r="B138" s="5"/>
      <c r="D138" s="5"/>
      <c r="E138" s="5"/>
      <c r="F138" s="5"/>
      <c r="G138" s="5"/>
      <c r="H138" s="5"/>
      <c r="I138" s="5"/>
      <c r="J138" s="5"/>
      <c r="K138" s="5"/>
    </row>
    <row r="139" spans="2:11">
      <c r="B139" s="5"/>
      <c r="D139" s="5"/>
      <c r="E139" s="5"/>
      <c r="F139" s="5"/>
      <c r="G139" s="5"/>
      <c r="H139" s="5"/>
      <c r="I139" s="5"/>
      <c r="J139" s="5"/>
      <c r="K139" s="5"/>
    </row>
    <row r="140" spans="2:11">
      <c r="B140" s="5"/>
      <c r="D140" s="5"/>
      <c r="E140" s="5"/>
      <c r="F140" s="5"/>
      <c r="G140" s="5"/>
      <c r="H140" s="5"/>
      <c r="I140" s="5"/>
      <c r="J140" s="5"/>
      <c r="K140" s="5"/>
    </row>
    <row r="141" spans="2:11">
      <c r="B141" s="5"/>
      <c r="D141" s="5"/>
      <c r="E141" s="5"/>
      <c r="F141" s="5"/>
      <c r="G141" s="5"/>
      <c r="H141" s="5"/>
      <c r="I141" s="5"/>
      <c r="J141" s="5"/>
      <c r="K141" s="5"/>
    </row>
    <row r="142" spans="2:11">
      <c r="B142" s="5"/>
      <c r="D142" s="5"/>
      <c r="E142" s="5"/>
      <c r="F142" s="5"/>
      <c r="G142" s="5"/>
      <c r="H142" s="5"/>
      <c r="I142" s="5"/>
      <c r="J142" s="5"/>
      <c r="K142" s="5"/>
    </row>
    <row r="143" spans="2:11">
      <c r="B143" s="5"/>
      <c r="D143" s="5"/>
      <c r="E143" s="5"/>
      <c r="F143" s="5"/>
      <c r="G143" s="5"/>
      <c r="H143" s="5"/>
      <c r="I143" s="5"/>
      <c r="J143" s="5"/>
      <c r="K143" s="5"/>
    </row>
    <row r="144" spans="2:11">
      <c r="B144" s="5"/>
      <c r="D144" s="5"/>
      <c r="E144" s="5"/>
      <c r="F144" s="5"/>
      <c r="G144" s="5"/>
      <c r="H144" s="5"/>
      <c r="I144" s="5"/>
      <c r="J144" s="5"/>
      <c r="K144" s="5"/>
    </row>
    <row r="145" spans="2:11">
      <c r="B145" s="5"/>
      <c r="D145" s="5"/>
      <c r="E145" s="5"/>
      <c r="F145" s="5"/>
      <c r="G145" s="5"/>
      <c r="H145" s="5"/>
      <c r="I145" s="5"/>
      <c r="J145" s="5"/>
      <c r="K145" s="5"/>
    </row>
    <row r="146" spans="2:11">
      <c r="B146" s="5"/>
      <c r="D146" s="5"/>
      <c r="E146" s="5"/>
      <c r="F146" s="5"/>
      <c r="G146" s="5"/>
      <c r="H146" s="5"/>
      <c r="I146" s="5"/>
      <c r="J146" s="5"/>
      <c r="K146" s="5"/>
    </row>
    <row r="147" spans="2:11">
      <c r="B147" s="5"/>
      <c r="D147" s="5"/>
      <c r="E147" s="5"/>
      <c r="F147" s="5"/>
      <c r="G147" s="5"/>
      <c r="H147" s="5"/>
      <c r="I147" s="5"/>
      <c r="J147" s="5"/>
      <c r="K147" s="5"/>
    </row>
    <row r="148" spans="2:11">
      <c r="B148" s="5"/>
      <c r="D148" s="5"/>
      <c r="E148" s="5"/>
      <c r="F148" s="5"/>
      <c r="G148" s="5"/>
      <c r="H148" s="5"/>
      <c r="I148" s="5"/>
      <c r="J148" s="5"/>
      <c r="K148" s="5"/>
    </row>
    <row r="149" spans="2:11">
      <c r="B149" s="5"/>
      <c r="D149" s="5"/>
      <c r="E149" s="5"/>
      <c r="F149" s="5"/>
      <c r="G149" s="5"/>
      <c r="H149" s="5"/>
      <c r="I149" s="5"/>
      <c r="J149" s="5"/>
      <c r="K149" s="5"/>
    </row>
    <row r="150" spans="2:11">
      <c r="B150" s="5"/>
      <c r="D150" s="5"/>
      <c r="E150" s="5"/>
      <c r="F150" s="5"/>
      <c r="G150" s="5"/>
      <c r="H150" s="5"/>
      <c r="I150" s="5"/>
      <c r="J150" s="5"/>
      <c r="K150" s="5"/>
    </row>
    <row r="151" spans="2:11">
      <c r="B151" s="5"/>
      <c r="D151" s="5"/>
      <c r="E151" s="5"/>
      <c r="F151" s="5"/>
      <c r="G151" s="5"/>
      <c r="H151" s="5"/>
      <c r="I151" s="5"/>
      <c r="J151" s="5"/>
      <c r="K151" s="5"/>
    </row>
    <row r="152" spans="2:11">
      <c r="B152" s="5"/>
      <c r="D152" s="5"/>
      <c r="E152" s="5"/>
      <c r="F152" s="5"/>
      <c r="G152" s="5"/>
      <c r="H152" s="5"/>
      <c r="I152" s="5"/>
      <c r="J152" s="5"/>
      <c r="K152" s="5"/>
    </row>
    <row r="153" spans="2:11">
      <c r="B153" s="5"/>
      <c r="D153" s="5"/>
      <c r="E153" s="5"/>
      <c r="F153" s="5"/>
      <c r="G153" s="5"/>
      <c r="H153" s="5"/>
      <c r="I153" s="5"/>
      <c r="J153" s="5"/>
      <c r="K153" s="5"/>
    </row>
    <row r="154" spans="2:11">
      <c r="B154" s="5"/>
      <c r="D154" s="5"/>
      <c r="E154" s="5"/>
      <c r="F154" s="5"/>
      <c r="G154" s="5"/>
      <c r="H154" s="5"/>
      <c r="I154" s="5"/>
      <c r="J154" s="5"/>
      <c r="K154" s="5"/>
    </row>
    <row r="155" spans="2:11">
      <c r="B155" s="5"/>
      <c r="D155" s="5"/>
      <c r="E155" s="5"/>
      <c r="F155" s="5"/>
      <c r="G155" s="5"/>
      <c r="H155" s="5"/>
      <c r="I155" s="5"/>
      <c r="J155" s="5"/>
      <c r="K155" s="5"/>
    </row>
    <row r="156" spans="2:11">
      <c r="B156" s="5"/>
      <c r="D156" s="5"/>
      <c r="E156" s="5"/>
      <c r="F156" s="5"/>
      <c r="G156" s="5"/>
      <c r="H156" s="5"/>
      <c r="I156" s="5"/>
      <c r="J156" s="5"/>
      <c r="K156" s="5"/>
    </row>
    <row r="157" spans="2:11">
      <c r="B157" s="5"/>
      <c r="D157" s="5"/>
      <c r="E157" s="5"/>
      <c r="F157" s="5"/>
      <c r="G157" s="5"/>
      <c r="H157" s="5"/>
      <c r="I157" s="5"/>
      <c r="J157" s="5"/>
      <c r="K157" s="5"/>
    </row>
    <row r="158" spans="2:11">
      <c r="B158" s="5"/>
      <c r="D158" s="5"/>
      <c r="E158" s="5"/>
      <c r="F158" s="5"/>
      <c r="G158" s="5"/>
      <c r="H158" s="5"/>
      <c r="I158" s="5"/>
      <c r="J158" s="5"/>
      <c r="K158" s="5"/>
    </row>
    <row r="159" spans="2:11">
      <c r="B159" s="5"/>
      <c r="D159" s="5"/>
      <c r="E159" s="5"/>
      <c r="F159" s="5"/>
      <c r="G159" s="5"/>
      <c r="H159" s="5"/>
      <c r="I159" s="5"/>
      <c r="J159" s="5"/>
      <c r="K159" s="5"/>
    </row>
    <row r="160" spans="2:11">
      <c r="B160" s="5"/>
      <c r="D160" s="5"/>
      <c r="E160" s="5"/>
      <c r="F160" s="5"/>
      <c r="G160" s="5"/>
      <c r="H160" s="5"/>
      <c r="I160" s="5"/>
      <c r="J160" s="5"/>
      <c r="K160" s="5"/>
    </row>
    <row r="161" spans="2:11">
      <c r="B161" s="5"/>
      <c r="D161" s="5"/>
      <c r="E161" s="5"/>
      <c r="F161" s="5"/>
      <c r="G161" s="5"/>
      <c r="H161" s="5"/>
      <c r="I161" s="5"/>
      <c r="J161" s="5"/>
      <c r="K161" s="5"/>
    </row>
    <row r="162" spans="2:11">
      <c r="B162" s="5"/>
      <c r="D162" s="5"/>
      <c r="E162" s="5"/>
      <c r="F162" s="5"/>
      <c r="G162" s="5"/>
      <c r="H162" s="5"/>
      <c r="I162" s="5"/>
      <c r="J162" s="5"/>
      <c r="K162" s="5"/>
    </row>
    <row r="163" spans="2:11">
      <c r="B163" s="5"/>
      <c r="D163" s="5"/>
      <c r="E163" s="5"/>
      <c r="F163" s="5"/>
      <c r="G163" s="5"/>
      <c r="H163" s="5"/>
      <c r="I163" s="5"/>
      <c r="J163" s="5"/>
      <c r="K163" s="5"/>
    </row>
    <row r="164" spans="2:11">
      <c r="B164" s="5"/>
      <c r="D164" s="5"/>
      <c r="E164" s="5"/>
      <c r="F164" s="5"/>
      <c r="G164" s="5"/>
      <c r="H164" s="5"/>
      <c r="I164" s="5"/>
      <c r="J164" s="5"/>
      <c r="K164" s="5"/>
    </row>
    <row r="165" spans="2:11">
      <c r="B165" s="5"/>
      <c r="D165" s="5"/>
      <c r="E165" s="5"/>
      <c r="F165" s="5"/>
      <c r="G165" s="5"/>
      <c r="H165" s="5"/>
      <c r="I165" s="5"/>
      <c r="J165" s="5"/>
      <c r="K165" s="5"/>
    </row>
    <row r="166" spans="2:11">
      <c r="B166" s="5"/>
      <c r="D166" s="5"/>
      <c r="E166" s="5"/>
      <c r="F166" s="5"/>
      <c r="G166" s="5"/>
      <c r="H166" s="5"/>
      <c r="I166" s="5"/>
      <c r="J166" s="5"/>
      <c r="K166" s="5"/>
    </row>
    <row r="167" spans="2:11">
      <c r="B167" s="5"/>
      <c r="D167" s="5"/>
      <c r="E167" s="5"/>
      <c r="F167" s="5"/>
      <c r="G167" s="5"/>
      <c r="H167" s="5"/>
      <c r="I167" s="5"/>
      <c r="J167" s="5"/>
      <c r="K167" s="5"/>
    </row>
    <row r="168" spans="2:11">
      <c r="B168" s="5"/>
      <c r="D168" s="5"/>
      <c r="E168" s="5"/>
      <c r="F168" s="5"/>
      <c r="G168" s="5"/>
      <c r="H168" s="5"/>
      <c r="I168" s="5"/>
      <c r="J168" s="5"/>
      <c r="K168" s="5"/>
    </row>
    <row r="169" spans="2:11">
      <c r="B169" s="5"/>
      <c r="D169" s="5"/>
      <c r="E169" s="5"/>
      <c r="F169" s="5"/>
      <c r="G169" s="5"/>
      <c r="H169" s="5"/>
      <c r="I169" s="5"/>
      <c r="J169" s="5"/>
      <c r="K169" s="5"/>
    </row>
    <row r="170" spans="2:11">
      <c r="B170" s="5"/>
      <c r="D170" s="5"/>
      <c r="E170" s="5"/>
      <c r="F170" s="5"/>
      <c r="G170" s="5"/>
      <c r="H170" s="5"/>
      <c r="I170" s="5"/>
      <c r="J170" s="5"/>
      <c r="K170" s="5"/>
    </row>
    <row r="171" spans="2:11">
      <c r="B171" s="5"/>
      <c r="D171" s="5"/>
      <c r="E171" s="5"/>
      <c r="F171" s="5"/>
      <c r="G171" s="5"/>
      <c r="H171" s="5"/>
      <c r="I171" s="5"/>
      <c r="J171" s="5"/>
      <c r="K171" s="5"/>
    </row>
    <row r="172" spans="2:11">
      <c r="B172" s="5"/>
      <c r="D172" s="5"/>
      <c r="E172" s="5"/>
      <c r="F172" s="5"/>
      <c r="G172" s="5"/>
      <c r="H172" s="5"/>
      <c r="I172" s="5"/>
      <c r="J172" s="5"/>
      <c r="K172" s="5"/>
    </row>
    <row r="173" spans="2:11">
      <c r="B173" s="5"/>
      <c r="D173" s="5"/>
      <c r="E173" s="5"/>
      <c r="F173" s="5"/>
      <c r="G173" s="5"/>
      <c r="H173" s="5"/>
      <c r="I173" s="5"/>
      <c r="J173" s="5"/>
      <c r="K173" s="5"/>
    </row>
  </sheetData>
  <sheetProtection insertRows="0"/>
  <mergeCells count="38">
    <mergeCell ref="B10:D10"/>
    <mergeCell ref="F10:S10"/>
    <mergeCell ref="F11:S11"/>
    <mergeCell ref="E12:R12"/>
    <mergeCell ref="E13:R13"/>
    <mergeCell ref="B64:B76"/>
    <mergeCell ref="B78:B81"/>
    <mergeCell ref="B82:B94"/>
    <mergeCell ref="D16:D17"/>
    <mergeCell ref="E16:G16"/>
    <mergeCell ref="D31:L31"/>
    <mergeCell ref="D32:L32"/>
    <mergeCell ref="B34:E34"/>
    <mergeCell ref="B35:B41"/>
    <mergeCell ref="B43:E43"/>
    <mergeCell ref="B44:B50"/>
    <mergeCell ref="B57:D58"/>
    <mergeCell ref="K26:K27"/>
    <mergeCell ref="B15:B30"/>
    <mergeCell ref="D15:L15"/>
    <mergeCell ref="D22:L22"/>
    <mergeCell ref="D23:L23"/>
    <mergeCell ref="D24:L24"/>
    <mergeCell ref="D25:L25"/>
    <mergeCell ref="K16:K17"/>
    <mergeCell ref="C26:C27"/>
    <mergeCell ref="D26:D27"/>
    <mergeCell ref="E26:E27"/>
    <mergeCell ref="F26:F27"/>
    <mergeCell ref="G26:G27"/>
    <mergeCell ref="J26:J27"/>
    <mergeCell ref="H16:J16"/>
    <mergeCell ref="L26:L27"/>
    <mergeCell ref="A1:P1"/>
    <mergeCell ref="A2:P2"/>
    <mergeCell ref="A3:P3"/>
    <mergeCell ref="A4:D4"/>
    <mergeCell ref="A5:P5"/>
  </mergeCells>
  <conditionalFormatting sqref="E12:R12">
    <cfRule type="expression" dxfId="69" priority="1">
      <formula>E11="SI SE REPORTA"</formula>
    </cfRule>
  </conditionalFormatting>
  <conditionalFormatting sqref="F10">
    <cfRule type="notContainsBlanks" dxfId="68" priority="6">
      <formula>LEN(TRIM(F10))&gt;0</formula>
    </cfRule>
  </conditionalFormatting>
  <conditionalFormatting sqref="F11:S11">
    <cfRule type="expression" dxfId="67" priority="4">
      <formula>E11="NO SE REPORTA"</formula>
    </cfRule>
    <cfRule type="expression" dxfId="66" priority="5">
      <formula>E10="NO APLICA"</formula>
    </cfRule>
  </conditionalFormatting>
  <dataValidations count="4">
    <dataValidation type="whole" operator="greaterThanOrEqual" allowBlank="1" showErrorMessage="1" errorTitle="ERROR" error="Escriba un número igual o mayor que 0" promptTitle="ERROR" prompt="Escriba un número igual o mayor que 0" sqref="E18:F20 H18:I20" xr:uid="{00000000-0002-0000-1200-000000000000}">
      <formula1>0</formula1>
    </dataValidation>
    <dataValidation type="whole" operator="greaterThanOrEqual" allowBlank="1" showInputMessage="1" showErrorMessage="1" errorTitle="ERROR" error="Valor en PESOS (sin centavos)" sqref="H28:K29" xr:uid="{00000000-0002-0000-1200-000001000000}">
      <formula1>0</formula1>
    </dataValidation>
    <dataValidation type="list" allowBlank="1" showInputMessage="1" showErrorMessage="1" sqref="E11" xr:uid="{00000000-0002-0000-1200-000002000000}">
      <formula1>REPORTE</formula1>
    </dataValidation>
    <dataValidation type="list" allowBlank="1" showInputMessage="1" showErrorMessage="1" sqref="E10" xr:uid="{00000000-0002-0000-1200-000003000000}">
      <formula1>SI</formula1>
    </dataValidation>
  </dataValidations>
  <hyperlinks>
    <hyperlink ref="B9" location="'ANEXO 3'!A1" display="VOLVER AL INDICE" xr:uid="{00000000-0004-0000-1200-000000000000}"/>
    <hyperlink ref="E39" r:id="rId1" xr:uid="{00000000-0004-0000-1200-000001000000}"/>
  </hyperlinks>
  <pageMargins left="0.25" right="0.25" top="0.75" bottom="0.75" header="0.3" footer="0.3"/>
  <pageSetup paperSize="178" orientation="landscape" horizontalDpi="1200" verticalDpi="1200" r:id="rId2"/>
  <drawing r:id="rId3"/>
  <legacy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5"/>
  <dimension ref="A1:U175"/>
  <sheetViews>
    <sheetView showGridLines="0" topLeftCell="A4" zoomScale="98" zoomScaleNormal="98" workbookViewId="0">
      <selection activeCell="H18" sqref="H18"/>
    </sheetView>
  </sheetViews>
  <sheetFormatPr baseColWidth="10" defaultRowHeight="14.4"/>
  <cols>
    <col min="1" max="1" width="1.88671875" customWidth="1"/>
    <col min="2" max="2" width="12.88671875" customWidth="1"/>
    <col min="3" max="3" width="5" style="66" bestFit="1" customWidth="1"/>
    <col min="4" max="4" width="34.88671875" customWidth="1"/>
    <col min="5" max="5" width="22.44140625" customWidth="1"/>
    <col min="7" max="10" width="14.44140625" bestFit="1" customWidth="1"/>
    <col min="11" max="11" width="71.5546875" customWidth="1"/>
  </cols>
  <sheetData>
    <row r="1" spans="1:21" s="314" customFormat="1" ht="100.5" customHeight="1" thickBot="1">
      <c r="A1" s="1421"/>
      <c r="B1" s="1422"/>
      <c r="C1" s="1422"/>
      <c r="D1" s="1422"/>
      <c r="E1" s="1422"/>
      <c r="F1" s="1422"/>
      <c r="G1" s="1422"/>
      <c r="H1" s="1422"/>
      <c r="I1" s="1422"/>
      <c r="J1" s="1422"/>
      <c r="K1" s="1422"/>
      <c r="L1" s="1422"/>
      <c r="M1" s="1422"/>
      <c r="N1" s="1422"/>
      <c r="O1" s="1422"/>
      <c r="P1" s="1423"/>
      <c r="Q1"/>
      <c r="R1"/>
    </row>
    <row r="2" spans="1:21" s="315" customFormat="1" ht="16.2" thickBot="1">
      <c r="A2" s="1418" t="str">
        <f>+'Datos Generales'!C5</f>
        <v>Corporación Autónoma Regional del Atlántico – CRA</v>
      </c>
      <c r="B2" s="1419"/>
      <c r="C2" s="1419"/>
      <c r="D2" s="1419"/>
      <c r="E2" s="1419"/>
      <c r="F2" s="1419"/>
      <c r="G2" s="1419"/>
      <c r="H2" s="1419"/>
      <c r="I2" s="1419"/>
      <c r="J2" s="1419"/>
      <c r="K2" s="1419"/>
      <c r="L2" s="1419"/>
      <c r="M2" s="1419"/>
      <c r="N2" s="1419"/>
      <c r="O2" s="1419"/>
      <c r="P2" s="1420"/>
      <c r="Q2"/>
      <c r="R2"/>
    </row>
    <row r="3" spans="1:21" s="315" customFormat="1" ht="16.2" thickBot="1">
      <c r="A3" s="1426" t="s">
        <v>1295</v>
      </c>
      <c r="B3" s="1427"/>
      <c r="C3" s="1427"/>
      <c r="D3" s="1427"/>
      <c r="E3" s="1427"/>
      <c r="F3" s="1427"/>
      <c r="G3" s="1427"/>
      <c r="H3" s="1427"/>
      <c r="I3" s="1427"/>
      <c r="J3" s="1427"/>
      <c r="K3" s="1427"/>
      <c r="L3" s="1427"/>
      <c r="M3" s="1427"/>
      <c r="N3" s="1427"/>
      <c r="O3" s="1427"/>
      <c r="P3" s="1428"/>
      <c r="Q3"/>
      <c r="R3"/>
    </row>
    <row r="4" spans="1:21" s="315" customFormat="1" ht="16.2" thickBot="1">
      <c r="A4" s="1424" t="s">
        <v>1294</v>
      </c>
      <c r="B4" s="1425"/>
      <c r="C4" s="1425"/>
      <c r="D4" s="1425"/>
      <c r="E4" s="322" t="str">
        <f>+'Datos Generales'!C6</f>
        <v>2023-II</v>
      </c>
      <c r="F4" s="322"/>
      <c r="G4" s="322"/>
      <c r="H4" s="322"/>
      <c r="I4" s="322"/>
      <c r="J4" s="322"/>
      <c r="K4" s="322"/>
      <c r="L4" s="323"/>
      <c r="M4" s="323"/>
      <c r="N4" s="323"/>
      <c r="O4" s="323"/>
      <c r="P4" s="324"/>
      <c r="Q4"/>
      <c r="R4"/>
    </row>
    <row r="5" spans="1:21" ht="16.5" customHeight="1" thickBot="1">
      <c r="A5" s="1426" t="s">
        <v>556</v>
      </c>
      <c r="B5" s="1427"/>
      <c r="C5" s="1427"/>
      <c r="D5" s="1427"/>
      <c r="E5" s="1427"/>
      <c r="F5" s="1427"/>
      <c r="G5" s="1427"/>
      <c r="H5" s="1427"/>
      <c r="I5" s="1427"/>
      <c r="J5" s="1427"/>
      <c r="K5" s="1427"/>
      <c r="L5" s="1427"/>
      <c r="M5" s="1427"/>
      <c r="N5" s="1427"/>
      <c r="O5" s="1427"/>
      <c r="P5" s="1428"/>
    </row>
    <row r="6" spans="1:21">
      <c r="B6" s="1" t="s">
        <v>1</v>
      </c>
      <c r="C6" s="64"/>
      <c r="D6" s="5"/>
      <c r="E6" s="62"/>
      <c r="F6" s="5" t="s">
        <v>127</v>
      </c>
      <c r="G6" s="5"/>
      <c r="H6" s="5"/>
      <c r="I6" s="5"/>
      <c r="J6" s="5"/>
      <c r="K6" s="5"/>
    </row>
    <row r="7" spans="1:21" ht="15" thickBot="1">
      <c r="B7" s="63"/>
      <c r="C7" s="64"/>
      <c r="D7" s="5"/>
      <c r="E7" s="14"/>
      <c r="F7" s="5" t="s">
        <v>128</v>
      </c>
      <c r="G7" s="5"/>
      <c r="H7" s="5"/>
      <c r="I7" s="5"/>
      <c r="J7" s="5"/>
      <c r="K7" s="5"/>
    </row>
    <row r="8" spans="1:21" ht="15" thickBot="1">
      <c r="B8" s="145" t="s">
        <v>1180</v>
      </c>
      <c r="C8" s="571">
        <v>2023</v>
      </c>
      <c r="D8" s="256">
        <f>IF(E10="NO APLICA","NO APLICA",IF(E11="NO SE REPORTA","SIN INFORMACION",+H22))</f>
        <v>0.68571428571428572</v>
      </c>
      <c r="E8" s="168"/>
      <c r="F8" s="5" t="s">
        <v>129</v>
      </c>
      <c r="G8" s="5"/>
      <c r="H8" s="5"/>
      <c r="I8" s="5"/>
      <c r="J8" s="5"/>
      <c r="K8" s="5"/>
    </row>
    <row r="9" spans="1:21">
      <c r="B9" s="300" t="s">
        <v>1181</v>
      </c>
      <c r="C9" s="67"/>
      <c r="D9" s="5"/>
      <c r="E9" s="5"/>
      <c r="F9" s="5"/>
      <c r="G9" s="5"/>
      <c r="H9" s="5"/>
      <c r="I9" s="5"/>
      <c r="J9" s="5"/>
      <c r="K9" s="5"/>
    </row>
    <row r="10" spans="1:21">
      <c r="B10" s="1429" t="s">
        <v>1236</v>
      </c>
      <c r="C10" s="1429"/>
      <c r="D10" s="1429"/>
      <c r="E10" s="303" t="s">
        <v>1233</v>
      </c>
      <c r="F10" s="1436"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437"/>
      <c r="H10" s="1437"/>
      <c r="I10" s="1437"/>
      <c r="J10" s="1437"/>
      <c r="K10" s="1437"/>
      <c r="L10" s="1437"/>
      <c r="M10" s="1437"/>
      <c r="N10" s="1437"/>
      <c r="O10" s="1437"/>
      <c r="P10" s="1437"/>
      <c r="Q10" s="1437"/>
      <c r="R10" s="1437"/>
      <c r="S10" s="1437"/>
      <c r="T10" s="5"/>
      <c r="U10" s="5"/>
    </row>
    <row r="11" spans="1:21" ht="14.4" customHeight="1">
      <c r="B11" s="302"/>
      <c r="C11" s="67"/>
      <c r="D11" s="144" t="str">
        <f>IF(E10="SI APLICA","¿El indicador no se reporta por limitaciones de información disponible? ","")</f>
        <v xml:space="preserve">¿El indicador no se reporta por limitaciones de información disponible? </v>
      </c>
      <c r="E11" s="304" t="s">
        <v>1235</v>
      </c>
      <c r="F11" s="1430" t="s">
        <v>1828</v>
      </c>
      <c r="G11" s="1431"/>
      <c r="H11" s="1431"/>
      <c r="I11" s="1431"/>
      <c r="J11" s="1431"/>
      <c r="K11" s="1431"/>
      <c r="L11" s="1431"/>
      <c r="M11" s="1431"/>
      <c r="N11" s="1431"/>
      <c r="O11" s="1431"/>
      <c r="P11" s="1431"/>
      <c r="Q11" s="1431"/>
      <c r="R11" s="1431"/>
      <c r="S11" s="1431"/>
    </row>
    <row r="12" spans="1:21" ht="23.4" customHeight="1">
      <c r="B12" s="300"/>
      <c r="C12" s="67"/>
      <c r="D12" s="144" t="str">
        <f>IF(E11="SI SE REPORTA","¿Qué programas o proyectos del Plan de Acción están asociados al indicador? ","")</f>
        <v xml:space="preserve">¿Qué programas o proyectos del Plan de Acción están asociados al indicador? </v>
      </c>
      <c r="E12" s="1432"/>
      <c r="F12" s="1432"/>
      <c r="G12" s="1432"/>
      <c r="H12" s="1432"/>
      <c r="I12" s="1432"/>
      <c r="J12" s="1432"/>
      <c r="K12" s="1432"/>
      <c r="L12" s="1432"/>
      <c r="M12" s="1432"/>
      <c r="N12" s="1432"/>
      <c r="O12" s="1432"/>
      <c r="P12" s="1432"/>
      <c r="Q12" s="1432"/>
      <c r="R12" s="1432"/>
    </row>
    <row r="13" spans="1:21" ht="21.9" customHeight="1">
      <c r="B13" s="300"/>
      <c r="C13" s="67"/>
      <c r="D13" s="144" t="s">
        <v>1238</v>
      </c>
      <c r="E13" s="1433" t="s">
        <v>1932</v>
      </c>
      <c r="F13" s="1434"/>
      <c r="G13" s="1434"/>
      <c r="H13" s="1434"/>
      <c r="I13" s="1434"/>
      <c r="J13" s="1434"/>
      <c r="K13" s="1434"/>
      <c r="L13" s="1434"/>
      <c r="M13" s="1434"/>
      <c r="N13" s="1434"/>
      <c r="O13" s="1434"/>
      <c r="P13" s="1434"/>
      <c r="Q13" s="1434"/>
      <c r="R13" s="1435"/>
    </row>
    <row r="14" spans="1:21" ht="6.9" customHeight="1" thickBot="1">
      <c r="B14" s="300"/>
      <c r="C14" s="67"/>
      <c r="D14" s="5"/>
      <c r="E14" s="5"/>
      <c r="F14" s="5"/>
      <c r="G14" s="5"/>
      <c r="H14" s="5"/>
      <c r="I14" s="5"/>
      <c r="J14" s="5"/>
      <c r="K14" s="5"/>
    </row>
    <row r="15" spans="1:21" ht="15.6" customHeight="1" thickTop="1" thickBot="1">
      <c r="B15" s="1612" t="s">
        <v>2</v>
      </c>
      <c r="C15" s="68"/>
      <c r="D15" s="1450" t="s">
        <v>335</v>
      </c>
      <c r="E15" s="1451"/>
      <c r="F15" s="1451"/>
      <c r="G15" s="1451"/>
      <c r="H15" s="1451"/>
      <c r="I15" s="1451"/>
      <c r="J15" s="1451"/>
      <c r="K15" s="1452"/>
    </row>
    <row r="16" spans="1:21" ht="20.25" customHeight="1" thickBot="1">
      <c r="B16" s="1613"/>
      <c r="C16" s="73"/>
      <c r="D16" s="34" t="s">
        <v>149</v>
      </c>
      <c r="E16" s="56" t="s">
        <v>19</v>
      </c>
      <c r="F16" s="56" t="s">
        <v>20</v>
      </c>
      <c r="G16" s="56" t="s">
        <v>21</v>
      </c>
      <c r="H16" s="255" t="s">
        <v>22</v>
      </c>
      <c r="I16" s="254"/>
      <c r="J16" s="5"/>
      <c r="K16" s="17"/>
    </row>
    <row r="17" spans="2:11" ht="24.6" thickBot="1">
      <c r="B17" s="1613"/>
      <c r="C17" s="73"/>
      <c r="D17" s="32" t="s">
        <v>575</v>
      </c>
      <c r="E17" s="528">
        <v>0</v>
      </c>
      <c r="F17" s="528">
        <v>0</v>
      </c>
      <c r="G17" s="528">
        <v>100</v>
      </c>
      <c r="H17" s="528">
        <v>140</v>
      </c>
      <c r="I17" s="254"/>
      <c r="J17" s="5"/>
      <c r="K17" s="17"/>
    </row>
    <row r="18" spans="2:11" ht="15" thickBot="1">
      <c r="B18" s="1613"/>
      <c r="C18" s="73"/>
      <c r="D18" s="32" t="s">
        <v>576</v>
      </c>
      <c r="E18" s="528">
        <v>0</v>
      </c>
      <c r="F18" s="528">
        <v>0</v>
      </c>
      <c r="G18" s="528">
        <v>0</v>
      </c>
      <c r="H18" s="529">
        <v>96</v>
      </c>
      <c r="I18" s="254"/>
      <c r="J18" s="5"/>
      <c r="K18" s="17"/>
    </row>
    <row r="19" spans="2:11" ht="15" thickBot="1">
      <c r="B19" s="1613"/>
      <c r="C19" s="73"/>
      <c r="D19" s="32" t="s">
        <v>577</v>
      </c>
      <c r="E19" s="528">
        <v>0</v>
      </c>
      <c r="F19" s="528">
        <v>0</v>
      </c>
      <c r="G19" s="528"/>
      <c r="H19" s="529"/>
      <c r="I19" s="254"/>
      <c r="J19" s="5"/>
      <c r="K19" s="17"/>
    </row>
    <row r="20" spans="2:11" ht="15" thickBot="1">
      <c r="B20" s="1613"/>
      <c r="C20" s="73"/>
      <c r="D20" s="32" t="s">
        <v>578</v>
      </c>
      <c r="E20" s="528">
        <v>0</v>
      </c>
      <c r="F20" s="528">
        <v>0</v>
      </c>
      <c r="G20" s="528">
        <v>0</v>
      </c>
      <c r="H20" s="529">
        <v>0</v>
      </c>
      <c r="I20" s="254"/>
      <c r="J20" s="5"/>
      <c r="K20" s="17"/>
    </row>
    <row r="21" spans="2:11" ht="15" thickBot="1">
      <c r="B21" s="1613"/>
      <c r="C21" s="73"/>
      <c r="D21" s="32" t="s">
        <v>150</v>
      </c>
      <c r="E21" s="526">
        <f>SUM(E18:E20)</f>
        <v>0</v>
      </c>
      <c r="F21" s="526">
        <f>SUM(F18:F20)</f>
        <v>0</v>
      </c>
      <c r="G21" s="550">
        <v>100</v>
      </c>
      <c r="H21" s="550">
        <v>96</v>
      </c>
      <c r="I21" s="254"/>
      <c r="J21" s="5"/>
      <c r="K21" s="17"/>
    </row>
    <row r="22" spans="2:11" ht="24.6" thickBot="1">
      <c r="B22" s="1613"/>
      <c r="C22" s="80"/>
      <c r="D22" s="42" t="s">
        <v>556</v>
      </c>
      <c r="E22" s="527" t="e">
        <f>+E21/E17</f>
        <v>#DIV/0!</v>
      </c>
      <c r="F22" s="527" t="e">
        <f>+F21/F17</f>
        <v>#DIV/0!</v>
      </c>
      <c r="G22" s="799">
        <f>+G21/G17</f>
        <v>1</v>
      </c>
      <c r="H22" s="799">
        <f>+H21/H17</f>
        <v>0.68571428571428572</v>
      </c>
      <c r="I22" s="254"/>
      <c r="J22" s="5"/>
      <c r="K22" s="17"/>
    </row>
    <row r="23" spans="2:11">
      <c r="B23" s="1613"/>
      <c r="C23" s="71"/>
      <c r="D23" s="1453" t="s">
        <v>245</v>
      </c>
      <c r="E23" s="1454"/>
      <c r="F23" s="1454"/>
      <c r="G23" s="1454"/>
      <c r="H23" s="1454"/>
      <c r="I23" s="1454"/>
      <c r="J23" s="1454"/>
      <c r="K23" s="1455"/>
    </row>
    <row r="24" spans="2:11">
      <c r="B24" s="1613"/>
      <c r="C24" s="71"/>
      <c r="D24" s="1453" t="s">
        <v>579</v>
      </c>
      <c r="E24" s="1454"/>
      <c r="F24" s="1454"/>
      <c r="G24" s="1454"/>
      <c r="H24" s="1454"/>
      <c r="I24" s="1454"/>
      <c r="J24" s="1454"/>
      <c r="K24" s="1455"/>
    </row>
    <row r="25" spans="2:11" ht="15" thickBot="1">
      <c r="B25" s="1613"/>
      <c r="C25" s="71"/>
      <c r="D25" s="1472" t="s">
        <v>339</v>
      </c>
      <c r="E25" s="1473"/>
      <c r="F25" s="1473"/>
      <c r="G25" s="1473"/>
      <c r="H25" s="1473"/>
      <c r="I25" s="1473"/>
      <c r="J25" s="1473"/>
      <c r="K25" s="1474"/>
    </row>
    <row r="26" spans="2:11" ht="51.6" thickBot="1">
      <c r="B26" s="175"/>
      <c r="C26" s="77" t="s">
        <v>18</v>
      </c>
      <c r="D26" s="56" t="s">
        <v>269</v>
      </c>
      <c r="E26" s="56" t="s">
        <v>580</v>
      </c>
      <c r="F26" s="858" t="s">
        <v>581</v>
      </c>
      <c r="G26" s="858" t="s">
        <v>342</v>
      </c>
      <c r="H26" s="858" t="s">
        <v>343</v>
      </c>
      <c r="I26" s="858" t="s">
        <v>273</v>
      </c>
      <c r="J26" s="858" t="s">
        <v>274</v>
      </c>
      <c r="K26" s="858" t="s">
        <v>54</v>
      </c>
    </row>
    <row r="27" spans="2:11" ht="130.5" customHeight="1" thickBot="1">
      <c r="B27" s="175"/>
      <c r="C27" s="2">
        <v>1</v>
      </c>
      <c r="D27" s="508" t="s">
        <v>1846</v>
      </c>
      <c r="E27" s="542" t="s">
        <v>1954</v>
      </c>
      <c r="F27" s="514">
        <v>56</v>
      </c>
      <c r="G27" s="856">
        <v>563000000</v>
      </c>
      <c r="H27" s="856">
        <v>563000000</v>
      </c>
      <c r="I27" s="856">
        <v>493374250</v>
      </c>
      <c r="J27" s="856">
        <v>467710393</v>
      </c>
      <c r="K27" s="706" t="s">
        <v>1992</v>
      </c>
    </row>
    <row r="28" spans="2:11" s="151" customFormat="1" ht="109.5" customHeight="1" thickBot="1">
      <c r="B28" s="172"/>
      <c r="C28" s="176">
        <v>1</v>
      </c>
      <c r="D28" s="638" t="s">
        <v>1924</v>
      </c>
      <c r="E28" s="542" t="s">
        <v>1954</v>
      </c>
      <c r="F28" s="514">
        <v>40</v>
      </c>
      <c r="G28" s="846">
        <v>550000000</v>
      </c>
      <c r="H28" s="846">
        <v>550000000</v>
      </c>
      <c r="I28" s="846">
        <v>550000000</v>
      </c>
      <c r="J28" s="847">
        <v>418638978</v>
      </c>
      <c r="K28" s="706" t="s">
        <v>1984</v>
      </c>
    </row>
    <row r="29" spans="2:11" ht="15" thickBot="1">
      <c r="B29" s="37"/>
      <c r="C29" s="2"/>
      <c r="D29" s="32" t="s">
        <v>150</v>
      </c>
      <c r="E29" s="32"/>
      <c r="F29" s="112">
        <f>SUM(F27:F28)</f>
        <v>96</v>
      </c>
      <c r="G29" s="857">
        <f>SUM(G27:G28)</f>
        <v>1113000000</v>
      </c>
      <c r="H29" s="857">
        <f>SUM(H27:H28)</f>
        <v>1113000000</v>
      </c>
      <c r="I29" s="857">
        <f>SUM(I27:I28)</f>
        <v>1043374250</v>
      </c>
      <c r="J29" s="857">
        <f>SUM(J27:J28)</f>
        <v>886349371</v>
      </c>
      <c r="K29" s="163"/>
    </row>
    <row r="30" spans="2:11" ht="24" customHeight="1" thickBot="1">
      <c r="B30" s="61" t="s">
        <v>33</v>
      </c>
      <c r="C30" s="86"/>
      <c r="D30" s="1462" t="s">
        <v>582</v>
      </c>
      <c r="E30" s="1463"/>
      <c r="F30" s="1463"/>
      <c r="G30" s="1463"/>
      <c r="H30" s="1463"/>
      <c r="I30" s="1463"/>
      <c r="J30" s="1463"/>
      <c r="K30" s="1464"/>
    </row>
    <row r="31" spans="2:11" ht="24" customHeight="1" thickBot="1">
      <c r="B31" s="61" t="s">
        <v>35</v>
      </c>
      <c r="C31" s="86"/>
      <c r="D31" s="1462" t="s">
        <v>345</v>
      </c>
      <c r="E31" s="1463"/>
      <c r="F31" s="1463"/>
      <c r="G31" s="1463"/>
      <c r="H31" s="1463"/>
      <c r="I31" s="1463"/>
      <c r="J31" s="1463"/>
      <c r="K31" s="1464"/>
    </row>
    <row r="32" spans="2:11" ht="15" thickBot="1">
      <c r="B32" s="1"/>
      <c r="C32" s="64"/>
      <c r="D32" s="5"/>
      <c r="E32" s="5"/>
      <c r="F32" s="5"/>
      <c r="G32" s="5"/>
      <c r="H32" s="5"/>
      <c r="I32" s="5"/>
      <c r="J32" s="5"/>
      <c r="K32" s="5"/>
    </row>
    <row r="33" spans="2:11" ht="24" customHeight="1" thickBot="1">
      <c r="B33" s="1469" t="s">
        <v>37</v>
      </c>
      <c r="C33" s="1470"/>
      <c r="D33" s="1470"/>
      <c r="E33" s="1471"/>
      <c r="F33" s="5"/>
      <c r="G33" s="5"/>
      <c r="H33" s="5"/>
      <c r="I33" s="5"/>
      <c r="J33" s="5"/>
      <c r="K33" s="5"/>
    </row>
    <row r="34" spans="2:11" ht="15" thickBot="1">
      <c r="B34" s="1459">
        <v>1</v>
      </c>
      <c r="C34" s="73"/>
      <c r="D34" s="38" t="s">
        <v>38</v>
      </c>
      <c r="E34" s="25" t="s">
        <v>1814</v>
      </c>
      <c r="F34" s="5"/>
      <c r="G34" s="5"/>
      <c r="H34" s="5"/>
      <c r="I34" s="5"/>
      <c r="J34" s="5"/>
      <c r="K34" s="5"/>
    </row>
    <row r="35" spans="2:11" ht="24.6" thickBot="1">
      <c r="B35" s="1460"/>
      <c r="C35" s="73"/>
      <c r="D35" s="32" t="s">
        <v>39</v>
      </c>
      <c r="E35" s="24" t="s">
        <v>2055</v>
      </c>
      <c r="F35" s="5"/>
      <c r="G35" s="5"/>
      <c r="H35" s="5"/>
      <c r="I35" s="5"/>
      <c r="J35" s="5"/>
      <c r="K35" s="5"/>
    </row>
    <row r="36" spans="2:11" ht="15" thickBot="1">
      <c r="B36" s="1460"/>
      <c r="C36" s="73"/>
      <c r="D36" s="32" t="s">
        <v>40</v>
      </c>
      <c r="E36" s="24" t="s">
        <v>1847</v>
      </c>
      <c r="F36" s="5"/>
      <c r="G36" s="5"/>
      <c r="H36" s="5"/>
      <c r="I36" s="5"/>
      <c r="J36" s="5"/>
      <c r="K36" s="5"/>
    </row>
    <row r="37" spans="2:11" ht="15" thickBot="1">
      <c r="B37" s="1460"/>
      <c r="C37" s="73"/>
      <c r="D37" s="32" t="s">
        <v>41</v>
      </c>
      <c r="E37" s="25" t="s">
        <v>2056</v>
      </c>
      <c r="F37" s="5"/>
      <c r="G37" s="5"/>
      <c r="H37" s="5"/>
      <c r="I37" s="5"/>
      <c r="J37" s="5"/>
      <c r="K37" s="5"/>
    </row>
    <row r="38" spans="2:11" ht="29.4" thickBot="1">
      <c r="B38" s="1460"/>
      <c r="C38" s="73"/>
      <c r="D38" s="32" t="s">
        <v>42</v>
      </c>
      <c r="E38" s="507" t="s">
        <v>1816</v>
      </c>
      <c r="F38" s="5"/>
      <c r="G38" s="5"/>
      <c r="H38" s="5"/>
      <c r="I38" s="5"/>
      <c r="J38" s="5"/>
      <c r="K38" s="5"/>
    </row>
    <row r="39" spans="2:11" ht="15" thickBot="1">
      <c r="B39" s="1460"/>
      <c r="C39" s="73"/>
      <c r="D39" s="32" t="s">
        <v>43</v>
      </c>
      <c r="E39" s="133">
        <v>3686626</v>
      </c>
      <c r="F39" s="5"/>
      <c r="G39" s="5"/>
      <c r="H39" s="5"/>
      <c r="I39" s="5"/>
      <c r="J39" s="5"/>
      <c r="K39" s="5"/>
    </row>
    <row r="40" spans="2:11" ht="15" thickBot="1">
      <c r="B40" s="1461"/>
      <c r="C40" s="2"/>
      <c r="D40" s="32" t="s">
        <v>44</v>
      </c>
      <c r="E40" s="24" t="s">
        <v>1817</v>
      </c>
      <c r="F40" s="5"/>
      <c r="G40" s="5"/>
      <c r="H40" s="5"/>
      <c r="I40" s="5"/>
      <c r="J40" s="5"/>
      <c r="K40" s="5"/>
    </row>
    <row r="41" spans="2:11" ht="15" thickBot="1">
      <c r="B41" s="1"/>
      <c r="C41" s="64"/>
      <c r="D41" s="5"/>
      <c r="E41" s="5"/>
      <c r="F41" s="5"/>
      <c r="G41" s="5"/>
      <c r="H41" s="5"/>
      <c r="I41" s="5"/>
      <c r="J41" s="5"/>
      <c r="K41" s="5"/>
    </row>
    <row r="42" spans="2:11" ht="15" thickBot="1">
      <c r="B42" s="1469" t="s">
        <v>45</v>
      </c>
      <c r="C42" s="1470"/>
      <c r="D42" s="1470"/>
      <c r="E42" s="1471"/>
      <c r="F42" s="5"/>
      <c r="G42" s="5"/>
      <c r="H42" s="5"/>
      <c r="I42" s="5"/>
      <c r="J42" s="5"/>
      <c r="K42" s="5"/>
    </row>
    <row r="43" spans="2:11" ht="24.6" thickBot="1">
      <c r="B43" s="1459">
        <v>1</v>
      </c>
      <c r="C43" s="73"/>
      <c r="D43" s="38" t="s">
        <v>38</v>
      </c>
      <c r="E43" s="28" t="s">
        <v>46</v>
      </c>
      <c r="F43" s="5"/>
      <c r="G43" s="5"/>
      <c r="H43" s="5"/>
      <c r="I43" s="5"/>
      <c r="J43" s="5"/>
      <c r="K43" s="5"/>
    </row>
    <row r="44" spans="2:11" ht="36.6" thickBot="1">
      <c r="B44" s="1460"/>
      <c r="C44" s="73"/>
      <c r="D44" s="32" t="s">
        <v>39</v>
      </c>
      <c r="E44" s="28" t="s">
        <v>159</v>
      </c>
      <c r="F44" s="5"/>
      <c r="G44" s="5"/>
      <c r="H44" s="5"/>
      <c r="I44" s="5"/>
      <c r="J44" s="5"/>
      <c r="K44" s="5"/>
    </row>
    <row r="45" spans="2:11" ht="15" thickBot="1">
      <c r="B45" s="1460"/>
      <c r="C45" s="73"/>
      <c r="D45" s="32" t="s">
        <v>40</v>
      </c>
      <c r="E45" s="194"/>
      <c r="F45" s="5"/>
      <c r="G45" s="5"/>
      <c r="H45" s="5"/>
      <c r="I45" s="5"/>
      <c r="J45" s="5"/>
      <c r="K45" s="5"/>
    </row>
    <row r="46" spans="2:11" ht="15" thickBot="1">
      <c r="B46" s="1460"/>
      <c r="C46" s="73"/>
      <c r="D46" s="32" t="s">
        <v>41</v>
      </c>
      <c r="E46" s="194"/>
      <c r="F46" s="5"/>
      <c r="G46" s="5"/>
      <c r="H46" s="5"/>
      <c r="I46" s="5"/>
      <c r="J46" s="5"/>
      <c r="K46" s="5"/>
    </row>
    <row r="47" spans="2:11" ht="15" thickBot="1">
      <c r="B47" s="1460"/>
      <c r="C47" s="73"/>
      <c r="D47" s="32" t="s">
        <v>42</v>
      </c>
      <c r="E47" s="194"/>
      <c r="F47" s="5"/>
      <c r="G47" s="5"/>
      <c r="H47" s="5"/>
      <c r="I47" s="5"/>
      <c r="J47" s="5"/>
      <c r="K47" s="5"/>
    </row>
    <row r="48" spans="2:11" ht="15" thickBot="1">
      <c r="B48" s="1460"/>
      <c r="C48" s="73"/>
      <c r="D48" s="32" t="s">
        <v>43</v>
      </c>
      <c r="E48" s="194"/>
      <c r="F48" s="5"/>
      <c r="G48" s="5"/>
      <c r="H48" s="5"/>
      <c r="I48" s="5"/>
      <c r="J48" s="5"/>
      <c r="K48" s="5"/>
    </row>
    <row r="49" spans="2:11" ht="15" thickBot="1">
      <c r="B49" s="1461"/>
      <c r="C49" s="2"/>
      <c r="D49" s="32" t="s">
        <v>44</v>
      </c>
      <c r="E49" s="194"/>
      <c r="F49" s="5"/>
      <c r="G49" s="5"/>
      <c r="H49" s="5"/>
      <c r="I49" s="5"/>
      <c r="J49" s="5"/>
      <c r="K49" s="5"/>
    </row>
    <row r="50" spans="2:11" ht="15" thickBot="1">
      <c r="B50" s="1"/>
      <c r="C50" s="64"/>
      <c r="D50" s="5"/>
      <c r="E50" s="5"/>
      <c r="F50" s="5"/>
      <c r="G50" s="5"/>
      <c r="H50" s="5"/>
      <c r="I50" s="5"/>
      <c r="J50" s="5"/>
      <c r="K50" s="5"/>
    </row>
    <row r="51" spans="2:11" ht="15" customHeight="1" thickBot="1">
      <c r="B51" s="100" t="s">
        <v>48</v>
      </c>
      <c r="C51" s="101"/>
      <c r="D51" s="101"/>
      <c r="E51" s="102"/>
      <c r="F51" s="5"/>
      <c r="G51" s="5"/>
      <c r="H51" s="5"/>
      <c r="I51" s="5"/>
      <c r="J51" s="5"/>
      <c r="K51" s="5"/>
    </row>
    <row r="52" spans="2:11" ht="24.6" thickBot="1">
      <c r="B52" s="37" t="s">
        <v>49</v>
      </c>
      <c r="C52" s="32" t="s">
        <v>50</v>
      </c>
      <c r="D52" s="32" t="s">
        <v>51</v>
      </c>
      <c r="E52" s="32" t="s">
        <v>52</v>
      </c>
      <c r="F52" s="5"/>
      <c r="G52" s="5"/>
      <c r="H52" s="5"/>
      <c r="I52" s="5"/>
      <c r="J52" s="5"/>
    </row>
    <row r="53" spans="2:11" ht="72.599999999999994" thickBot="1">
      <c r="B53" s="39">
        <v>42401</v>
      </c>
      <c r="C53" s="32">
        <v>0.01</v>
      </c>
      <c r="D53" s="40" t="s">
        <v>583</v>
      </c>
      <c r="E53" s="32"/>
      <c r="F53" s="5"/>
      <c r="G53" s="5"/>
      <c r="H53" s="5"/>
      <c r="I53" s="5"/>
      <c r="J53" s="5"/>
    </row>
    <row r="54" spans="2:11" ht="15" thickBot="1">
      <c r="B54" s="3"/>
      <c r="C54" s="74"/>
      <c r="D54" s="5"/>
      <c r="E54" s="5"/>
      <c r="F54" s="5"/>
      <c r="G54" s="5"/>
      <c r="H54" s="5"/>
      <c r="I54" s="5"/>
      <c r="J54" s="5"/>
      <c r="K54" s="5"/>
    </row>
    <row r="55" spans="2:11">
      <c r="B55" s="106" t="s">
        <v>54</v>
      </c>
      <c r="C55" s="75"/>
      <c r="D55" s="5"/>
      <c r="E55" s="5"/>
      <c r="F55" s="5"/>
      <c r="G55" s="5"/>
      <c r="H55" s="5"/>
      <c r="I55" s="5"/>
      <c r="J55" s="5"/>
      <c r="K55" s="5"/>
    </row>
    <row r="56" spans="2:11">
      <c r="B56" s="1599"/>
      <c r="C56" s="1600"/>
      <c r="D56" s="1600"/>
      <c r="E56" s="1601"/>
      <c r="F56" s="5"/>
      <c r="G56" s="5"/>
      <c r="H56" s="5"/>
      <c r="I56" s="5"/>
      <c r="J56" s="5"/>
      <c r="K56" s="5"/>
    </row>
    <row r="57" spans="2:11">
      <c r="B57" s="1602"/>
      <c r="C57" s="1603"/>
      <c r="D57" s="1603"/>
      <c r="E57" s="1604"/>
      <c r="F57" s="5"/>
      <c r="G57" s="5"/>
      <c r="H57" s="5"/>
      <c r="I57" s="5"/>
      <c r="J57" s="5"/>
      <c r="K57" s="5"/>
    </row>
    <row r="58" spans="2:11">
      <c r="B58" s="1"/>
      <c r="C58" s="64"/>
      <c r="D58" s="5"/>
      <c r="E58" s="5"/>
      <c r="F58" s="5"/>
      <c r="G58" s="5"/>
      <c r="H58" s="5"/>
      <c r="I58" s="5"/>
      <c r="J58" s="5"/>
      <c r="K58" s="5"/>
    </row>
    <row r="59" spans="2:11" ht="15" thickBot="1">
      <c r="B59" s="5"/>
      <c r="D59" s="5"/>
      <c r="E59" s="5"/>
      <c r="F59" s="5"/>
      <c r="G59" s="5"/>
      <c r="H59" s="5"/>
      <c r="I59" s="5"/>
      <c r="J59" s="5"/>
      <c r="K59" s="5"/>
    </row>
    <row r="60" spans="2:11" ht="24.6" thickBot="1">
      <c r="B60" s="41" t="s">
        <v>449</v>
      </c>
      <c r="C60" s="76"/>
      <c r="D60" s="5"/>
      <c r="E60" s="5"/>
      <c r="F60" s="5"/>
      <c r="G60" s="5"/>
      <c r="H60" s="5"/>
      <c r="I60" s="5"/>
      <c r="J60" s="5"/>
      <c r="K60" s="5"/>
    </row>
    <row r="61" spans="2:11" ht="15" thickBot="1">
      <c r="B61" s="29"/>
      <c r="C61" s="67"/>
      <c r="D61" s="5"/>
      <c r="E61" s="5"/>
      <c r="F61" s="5"/>
      <c r="G61" s="5"/>
      <c r="H61" s="5"/>
      <c r="I61" s="5"/>
      <c r="J61" s="5"/>
      <c r="K61" s="5"/>
    </row>
    <row r="62" spans="2:11" ht="60.6" thickBot="1">
      <c r="B62" s="42" t="s">
        <v>56</v>
      </c>
      <c r="C62" s="77"/>
      <c r="D62" s="34" t="s">
        <v>557</v>
      </c>
      <c r="E62" s="5"/>
      <c r="F62" s="5"/>
      <c r="G62" s="5"/>
      <c r="H62" s="5"/>
      <c r="I62" s="5"/>
      <c r="J62" s="5"/>
      <c r="K62" s="5"/>
    </row>
    <row r="63" spans="2:11">
      <c r="B63" s="1459" t="s">
        <v>58</v>
      </c>
      <c r="C63" s="73"/>
      <c r="D63" s="43" t="s">
        <v>59</v>
      </c>
      <c r="E63" s="5"/>
      <c r="F63" s="5"/>
      <c r="G63" s="5"/>
      <c r="H63" s="5"/>
      <c r="I63" s="5"/>
      <c r="J63" s="5"/>
      <c r="K63" s="5"/>
    </row>
    <row r="64" spans="2:11" ht="72">
      <c r="B64" s="1460"/>
      <c r="C64" s="73"/>
      <c r="D64" s="36" t="s">
        <v>558</v>
      </c>
      <c r="E64" s="5"/>
      <c r="F64" s="5"/>
      <c r="G64" s="5"/>
      <c r="H64" s="5"/>
      <c r="I64" s="5"/>
      <c r="J64" s="5"/>
      <c r="K64" s="5"/>
    </row>
    <row r="65" spans="2:11" ht="24">
      <c r="B65" s="1460"/>
      <c r="C65" s="73"/>
      <c r="D65" s="36" t="s">
        <v>559</v>
      </c>
      <c r="E65" s="5"/>
      <c r="F65" s="5"/>
      <c r="G65" s="5"/>
      <c r="H65" s="5"/>
      <c r="I65" s="5"/>
      <c r="J65" s="5"/>
      <c r="K65" s="5"/>
    </row>
    <row r="66" spans="2:11">
      <c r="B66" s="1460"/>
      <c r="C66" s="73"/>
      <c r="D66" s="43" t="s">
        <v>62</v>
      </c>
      <c r="E66" s="5"/>
      <c r="F66" s="5"/>
      <c r="G66" s="5"/>
      <c r="H66" s="5"/>
      <c r="I66" s="5"/>
      <c r="J66" s="5"/>
      <c r="K66" s="5"/>
    </row>
    <row r="67" spans="2:11">
      <c r="B67" s="1460"/>
      <c r="C67" s="73"/>
      <c r="D67" s="36" t="s">
        <v>64</v>
      </c>
      <c r="E67" s="5"/>
      <c r="F67" s="5"/>
      <c r="G67" s="5"/>
      <c r="H67" s="5"/>
      <c r="I67" s="5"/>
      <c r="J67" s="5"/>
      <c r="K67" s="5"/>
    </row>
    <row r="68" spans="2:11">
      <c r="B68" s="1460"/>
      <c r="C68" s="73"/>
      <c r="D68" s="43" t="s">
        <v>287</v>
      </c>
      <c r="E68" s="5"/>
      <c r="F68" s="5"/>
      <c r="G68" s="5"/>
      <c r="H68" s="5"/>
      <c r="I68" s="5"/>
      <c r="J68" s="5"/>
      <c r="K68" s="5"/>
    </row>
    <row r="69" spans="2:11" ht="24">
      <c r="B69" s="1460"/>
      <c r="C69" s="73"/>
      <c r="D69" s="36" t="s">
        <v>452</v>
      </c>
      <c r="E69" s="5"/>
      <c r="F69" s="5"/>
      <c r="G69" s="5"/>
      <c r="H69" s="5"/>
      <c r="I69" s="5"/>
      <c r="J69" s="5"/>
      <c r="K69" s="5"/>
    </row>
    <row r="70" spans="2:11">
      <c r="B70" s="1460"/>
      <c r="C70" s="73"/>
      <c r="D70" s="36" t="s">
        <v>560</v>
      </c>
      <c r="E70" s="5"/>
      <c r="F70" s="5"/>
      <c r="G70" s="5"/>
      <c r="H70" s="5"/>
      <c r="I70" s="5"/>
      <c r="J70" s="5"/>
      <c r="K70" s="5"/>
    </row>
    <row r="71" spans="2:11" ht="15" thickBot="1">
      <c r="B71" s="1461"/>
      <c r="C71" s="2"/>
      <c r="D71" s="58"/>
      <c r="E71" s="5"/>
      <c r="F71" s="5"/>
      <c r="G71" s="5"/>
      <c r="H71" s="5"/>
      <c r="I71" s="5"/>
      <c r="J71" s="5"/>
      <c r="K71" s="5"/>
    </row>
    <row r="72" spans="2:11" ht="24.6" thickBot="1">
      <c r="B72" s="37" t="s">
        <v>71</v>
      </c>
      <c r="C72" s="2"/>
      <c r="D72" s="32"/>
      <c r="E72" s="5"/>
      <c r="F72" s="5"/>
      <c r="G72" s="5"/>
      <c r="H72" s="5"/>
      <c r="I72" s="5"/>
      <c r="J72" s="5"/>
      <c r="K72" s="5"/>
    </row>
    <row r="73" spans="2:11" ht="72">
      <c r="B73" s="1459" t="s">
        <v>72</v>
      </c>
      <c r="C73" s="73"/>
      <c r="D73" s="36" t="s">
        <v>561</v>
      </c>
      <c r="E73" s="5"/>
      <c r="F73" s="5"/>
      <c r="G73" s="5"/>
      <c r="H73" s="5"/>
      <c r="I73" s="5"/>
      <c r="J73" s="5"/>
      <c r="K73" s="5"/>
    </row>
    <row r="74" spans="2:11" ht="108">
      <c r="B74" s="1460"/>
      <c r="C74" s="73"/>
      <c r="D74" s="36" t="s">
        <v>562</v>
      </c>
      <c r="E74" s="5"/>
      <c r="F74" s="5"/>
      <c r="G74" s="5"/>
      <c r="H74" s="5"/>
      <c r="I74" s="5"/>
      <c r="J74" s="5"/>
      <c r="K74" s="5"/>
    </row>
    <row r="75" spans="2:11" ht="84">
      <c r="B75" s="1460"/>
      <c r="C75" s="73"/>
      <c r="D75" s="36" t="s">
        <v>563</v>
      </c>
      <c r="E75" s="5"/>
      <c r="F75" s="5"/>
      <c r="G75" s="5"/>
      <c r="H75" s="5"/>
      <c r="I75" s="5"/>
      <c r="J75" s="5"/>
      <c r="K75" s="5"/>
    </row>
    <row r="76" spans="2:11" ht="72">
      <c r="B76" s="1460"/>
      <c r="C76" s="73"/>
      <c r="D76" s="36" t="s">
        <v>564</v>
      </c>
      <c r="E76" s="5"/>
      <c r="F76" s="5"/>
      <c r="G76" s="5"/>
      <c r="H76" s="5"/>
      <c r="I76" s="5"/>
      <c r="J76" s="5"/>
      <c r="K76" s="5"/>
    </row>
    <row r="77" spans="2:11" ht="84">
      <c r="B77" s="1460"/>
      <c r="C77" s="73"/>
      <c r="D77" s="36" t="s">
        <v>565</v>
      </c>
      <c r="E77" s="5"/>
      <c r="F77" s="5"/>
      <c r="G77" s="5"/>
      <c r="H77" s="5"/>
      <c r="I77" s="5"/>
      <c r="J77" s="5"/>
      <c r="K77" s="5"/>
    </row>
    <row r="78" spans="2:11" ht="48">
      <c r="B78" s="1460"/>
      <c r="C78" s="73"/>
      <c r="D78" s="36" t="s">
        <v>566</v>
      </c>
      <c r="E78" s="5"/>
      <c r="F78" s="5"/>
      <c r="G78" s="5"/>
      <c r="H78" s="5"/>
      <c r="I78" s="5"/>
      <c r="J78" s="5"/>
      <c r="K78" s="5"/>
    </row>
    <row r="79" spans="2:11" ht="72.599999999999994" thickBot="1">
      <c r="B79" s="1461"/>
      <c r="C79" s="2"/>
      <c r="D79" s="32" t="s">
        <v>567</v>
      </c>
      <c r="E79" s="5"/>
      <c r="F79" s="5"/>
      <c r="G79" s="5"/>
      <c r="H79" s="5"/>
      <c r="I79" s="5"/>
      <c r="J79" s="5"/>
      <c r="K79" s="5"/>
    </row>
    <row r="80" spans="2:11" ht="24">
      <c r="B80" s="1459" t="s">
        <v>89</v>
      </c>
      <c r="C80" s="73"/>
      <c r="D80" s="43" t="s">
        <v>556</v>
      </c>
      <c r="E80" s="5"/>
      <c r="F80" s="5"/>
      <c r="G80" s="5"/>
      <c r="H80" s="5"/>
      <c r="I80" s="5"/>
      <c r="J80" s="5"/>
      <c r="K80" s="5"/>
    </row>
    <row r="81" spans="2:11">
      <c r="B81" s="1460"/>
      <c r="C81" s="73"/>
      <c r="D81" s="13"/>
      <c r="E81" s="5"/>
      <c r="F81" s="5"/>
      <c r="G81" s="5"/>
      <c r="H81" s="5"/>
      <c r="I81" s="5"/>
      <c r="J81" s="5"/>
      <c r="K81" s="5"/>
    </row>
    <row r="82" spans="2:11">
      <c r="B82" s="1460"/>
      <c r="C82" s="73"/>
      <c r="D82" s="36" t="s">
        <v>90</v>
      </c>
      <c r="E82" s="5"/>
      <c r="F82" s="5"/>
      <c r="G82" s="5"/>
      <c r="H82" s="5"/>
      <c r="I82" s="5"/>
      <c r="J82" s="5"/>
      <c r="K82" s="5"/>
    </row>
    <row r="83" spans="2:11" ht="38.4">
      <c r="B83" s="1460"/>
      <c r="C83" s="73"/>
      <c r="D83" s="36" t="s">
        <v>568</v>
      </c>
      <c r="E83" s="5"/>
      <c r="F83" s="5"/>
      <c r="G83" s="5"/>
      <c r="H83" s="5"/>
      <c r="I83" s="5"/>
      <c r="J83" s="5"/>
      <c r="K83" s="5"/>
    </row>
    <row r="84" spans="2:11" ht="38.4">
      <c r="B84" s="1460"/>
      <c r="C84" s="73"/>
      <c r="D84" s="36" t="s">
        <v>569</v>
      </c>
      <c r="E84" s="5"/>
      <c r="F84" s="5"/>
      <c r="G84" s="5"/>
      <c r="H84" s="5"/>
      <c r="I84" s="5"/>
      <c r="J84" s="5"/>
      <c r="K84" s="5"/>
    </row>
    <row r="85" spans="2:11" ht="38.4">
      <c r="B85" s="1460"/>
      <c r="C85" s="73"/>
      <c r="D85" s="36" t="s">
        <v>570</v>
      </c>
      <c r="E85" s="5"/>
      <c r="F85" s="5"/>
      <c r="G85" s="5"/>
      <c r="H85" s="5"/>
      <c r="I85" s="5"/>
      <c r="J85" s="5"/>
      <c r="K85" s="5"/>
    </row>
    <row r="86" spans="2:11" ht="72">
      <c r="B86" s="1460"/>
      <c r="C86" s="73"/>
      <c r="D86" s="44" t="s">
        <v>234</v>
      </c>
      <c r="E86" s="5"/>
      <c r="F86" s="5"/>
      <c r="G86" s="5"/>
      <c r="H86" s="5"/>
      <c r="I86" s="5"/>
      <c r="J86" s="5"/>
      <c r="K86" s="5"/>
    </row>
    <row r="87" spans="2:11">
      <c r="B87" s="1460"/>
      <c r="C87" s="73"/>
      <c r="D87" s="43" t="s">
        <v>245</v>
      </c>
      <c r="E87" s="5"/>
      <c r="F87" s="5"/>
      <c r="G87" s="5"/>
      <c r="H87" s="5"/>
      <c r="I87" s="5"/>
      <c r="J87" s="5"/>
      <c r="K87" s="5"/>
    </row>
    <row r="88" spans="2:11" ht="24">
      <c r="B88" s="1460"/>
      <c r="C88" s="73"/>
      <c r="D88" s="43" t="s">
        <v>571</v>
      </c>
      <c r="E88" s="5"/>
      <c r="F88" s="5"/>
      <c r="G88" s="5"/>
      <c r="H88" s="5"/>
      <c r="I88" s="5"/>
      <c r="J88" s="5"/>
      <c r="K88" s="5"/>
    </row>
    <row r="89" spans="2:11">
      <c r="B89" s="1460"/>
      <c r="C89" s="73"/>
      <c r="D89" s="43" t="s">
        <v>572</v>
      </c>
      <c r="E89" s="5"/>
      <c r="F89" s="5"/>
      <c r="G89" s="5"/>
      <c r="H89" s="5"/>
      <c r="I89" s="5"/>
      <c r="J89" s="5"/>
      <c r="K89" s="5"/>
    </row>
    <row r="90" spans="2:11">
      <c r="B90" s="1460"/>
      <c r="C90" s="73"/>
      <c r="D90" s="13"/>
      <c r="E90" s="5"/>
      <c r="F90" s="5"/>
      <c r="G90" s="5"/>
      <c r="H90" s="5"/>
      <c r="I90" s="5"/>
      <c r="J90" s="5"/>
      <c r="K90" s="5"/>
    </row>
    <row r="91" spans="2:11">
      <c r="B91" s="1460"/>
      <c r="C91" s="73"/>
      <c r="D91" s="36" t="s">
        <v>90</v>
      </c>
      <c r="E91" s="5"/>
      <c r="F91" s="5"/>
      <c r="G91" s="5"/>
      <c r="H91" s="5"/>
      <c r="I91" s="5"/>
      <c r="J91" s="5"/>
      <c r="K91" s="5"/>
    </row>
    <row r="92" spans="2:11" ht="38.4">
      <c r="B92" s="1460"/>
      <c r="C92" s="73"/>
      <c r="D92" s="36" t="s">
        <v>573</v>
      </c>
      <c r="E92" s="5"/>
      <c r="F92" s="5"/>
      <c r="G92" s="5"/>
      <c r="H92" s="5"/>
      <c r="I92" s="5"/>
      <c r="J92" s="5"/>
      <c r="K92" s="5"/>
    </row>
    <row r="93" spans="2:11" ht="51" thickBot="1">
      <c r="B93" s="1461"/>
      <c r="C93" s="2"/>
      <c r="D93" s="32" t="s">
        <v>574</v>
      </c>
      <c r="E93" s="5"/>
      <c r="F93" s="5"/>
      <c r="G93" s="5"/>
      <c r="H93" s="5"/>
      <c r="I93" s="5"/>
      <c r="J93" s="5"/>
      <c r="K93" s="5"/>
    </row>
    <row r="94" spans="2:11">
      <c r="B94" s="5"/>
      <c r="D94" s="5"/>
      <c r="E94" s="5"/>
      <c r="F94" s="5"/>
      <c r="G94" s="5"/>
      <c r="H94" s="5"/>
      <c r="I94" s="5"/>
      <c r="J94" s="5"/>
      <c r="K94" s="5"/>
    </row>
    <row r="95" spans="2:11">
      <c r="B95" s="5"/>
      <c r="D95" s="5"/>
      <c r="E95" s="5"/>
      <c r="F95" s="5"/>
      <c r="G95" s="5"/>
      <c r="H95" s="5"/>
      <c r="I95" s="5"/>
      <c r="J95" s="5"/>
      <c r="K95" s="5"/>
    </row>
    <row r="96" spans="2:11">
      <c r="B96" s="5"/>
      <c r="D96" s="5"/>
      <c r="E96" s="5"/>
      <c r="F96" s="5"/>
      <c r="G96" s="5"/>
      <c r="H96" s="5"/>
      <c r="I96" s="5"/>
      <c r="J96" s="5"/>
      <c r="K96" s="5"/>
    </row>
    <row r="97" spans="2:11">
      <c r="B97" s="5"/>
      <c r="D97" s="5"/>
      <c r="E97" s="5"/>
      <c r="F97" s="5"/>
      <c r="G97" s="5"/>
      <c r="H97" s="5"/>
      <c r="I97" s="5"/>
      <c r="J97" s="5"/>
      <c r="K97" s="5"/>
    </row>
    <row r="98" spans="2:11">
      <c r="B98" s="5"/>
      <c r="D98" s="5"/>
      <c r="E98" s="5"/>
      <c r="F98" s="5"/>
      <c r="G98" s="5"/>
      <c r="H98" s="5"/>
      <c r="I98" s="5"/>
      <c r="J98" s="5"/>
      <c r="K98" s="5"/>
    </row>
    <row r="99" spans="2:11">
      <c r="B99" s="5"/>
      <c r="D99" s="5"/>
      <c r="E99" s="5"/>
      <c r="F99" s="5"/>
      <c r="G99" s="5"/>
      <c r="H99" s="5"/>
      <c r="I99" s="5"/>
      <c r="J99" s="5"/>
      <c r="K99" s="5"/>
    </row>
    <row r="100" spans="2:11">
      <c r="B100" s="5"/>
      <c r="D100" s="5"/>
      <c r="E100" s="5"/>
      <c r="F100" s="5"/>
      <c r="G100" s="5"/>
      <c r="H100" s="5"/>
      <c r="I100" s="5"/>
      <c r="J100" s="5"/>
      <c r="K100" s="5"/>
    </row>
    <row r="101" spans="2:11">
      <c r="B101" s="5"/>
      <c r="D101" s="5"/>
      <c r="E101" s="5"/>
      <c r="F101" s="5"/>
      <c r="G101" s="5"/>
      <c r="H101" s="5"/>
      <c r="I101" s="5"/>
      <c r="J101" s="5"/>
      <c r="K101" s="5"/>
    </row>
    <row r="102" spans="2:11">
      <c r="B102" s="5"/>
      <c r="D102" s="5"/>
      <c r="E102" s="5"/>
      <c r="F102" s="5"/>
      <c r="G102" s="5"/>
      <c r="H102" s="5"/>
      <c r="I102" s="5"/>
      <c r="J102" s="5"/>
      <c r="K102" s="5"/>
    </row>
    <row r="103" spans="2:11">
      <c r="B103" s="5"/>
      <c r="D103" s="5"/>
      <c r="E103" s="5"/>
      <c r="F103" s="5"/>
      <c r="G103" s="5"/>
      <c r="H103" s="5"/>
      <c r="I103" s="5"/>
      <c r="J103" s="5"/>
      <c r="K103" s="5"/>
    </row>
    <row r="104" spans="2:11">
      <c r="B104" s="5"/>
      <c r="D104" s="5"/>
      <c r="E104" s="5"/>
      <c r="F104" s="5"/>
      <c r="G104" s="5"/>
      <c r="H104" s="5"/>
      <c r="I104" s="5"/>
      <c r="J104" s="5"/>
      <c r="K104" s="5"/>
    </row>
    <row r="105" spans="2:11">
      <c r="B105" s="5"/>
      <c r="D105" s="5"/>
      <c r="E105" s="5"/>
      <c r="F105" s="5"/>
      <c r="G105" s="5"/>
      <c r="H105" s="5"/>
      <c r="I105" s="5"/>
      <c r="J105" s="5"/>
      <c r="K105" s="5"/>
    </row>
    <row r="106" spans="2:11">
      <c r="B106" s="5"/>
      <c r="D106" s="5"/>
      <c r="E106" s="5"/>
      <c r="F106" s="5"/>
      <c r="G106" s="5"/>
      <c r="H106" s="5"/>
      <c r="I106" s="5"/>
      <c r="J106" s="5"/>
      <c r="K106" s="5"/>
    </row>
    <row r="107" spans="2:11">
      <c r="B107" s="5"/>
      <c r="D107" s="5"/>
      <c r="E107" s="5"/>
      <c r="F107" s="5"/>
      <c r="G107" s="5"/>
      <c r="H107" s="5"/>
      <c r="I107" s="5"/>
      <c r="J107" s="5"/>
      <c r="K107" s="5"/>
    </row>
    <row r="108" spans="2:11">
      <c r="B108" s="5"/>
      <c r="D108" s="5"/>
      <c r="E108" s="5"/>
      <c r="F108" s="5"/>
      <c r="G108" s="5"/>
      <c r="H108" s="5"/>
      <c r="I108" s="5"/>
      <c r="J108" s="5"/>
      <c r="K108" s="5"/>
    </row>
    <row r="109" spans="2:11">
      <c r="B109" s="5"/>
      <c r="D109" s="5"/>
      <c r="E109" s="5"/>
      <c r="F109" s="5"/>
      <c r="G109" s="5"/>
      <c r="H109" s="5"/>
      <c r="I109" s="5"/>
      <c r="J109" s="5"/>
      <c r="K109" s="5"/>
    </row>
    <row r="110" spans="2:11">
      <c r="B110" s="5"/>
      <c r="D110" s="5"/>
      <c r="E110" s="5"/>
      <c r="F110" s="5"/>
      <c r="G110" s="5"/>
      <c r="H110" s="5"/>
      <c r="I110" s="5"/>
      <c r="J110" s="5"/>
      <c r="K110" s="5"/>
    </row>
    <row r="111" spans="2:11">
      <c r="B111" s="5"/>
      <c r="D111" s="5"/>
      <c r="E111" s="5"/>
      <c r="F111" s="5"/>
      <c r="G111" s="5"/>
      <c r="H111" s="5"/>
      <c r="I111" s="5"/>
      <c r="J111" s="5"/>
      <c r="K111" s="5"/>
    </row>
    <row r="112" spans="2:11">
      <c r="B112" s="5"/>
      <c r="D112" s="5"/>
      <c r="E112" s="5"/>
      <c r="F112" s="5"/>
      <c r="G112" s="5"/>
      <c r="H112" s="5"/>
      <c r="I112" s="5"/>
      <c r="J112" s="5"/>
      <c r="K112" s="5"/>
    </row>
    <row r="113" spans="2:11">
      <c r="B113" s="5"/>
      <c r="D113" s="5"/>
      <c r="E113" s="5"/>
      <c r="F113" s="5"/>
      <c r="G113" s="5"/>
      <c r="H113" s="5"/>
      <c r="I113" s="5"/>
      <c r="J113" s="5"/>
      <c r="K113" s="5"/>
    </row>
    <row r="114" spans="2:11">
      <c r="B114" s="5"/>
      <c r="D114" s="5"/>
      <c r="E114" s="5"/>
      <c r="F114" s="5"/>
      <c r="G114" s="5"/>
      <c r="H114" s="5"/>
      <c r="I114" s="5"/>
      <c r="J114" s="5"/>
      <c r="K114" s="5"/>
    </row>
    <row r="115" spans="2:11">
      <c r="B115" s="5"/>
      <c r="D115" s="5"/>
      <c r="E115" s="5"/>
      <c r="F115" s="5"/>
      <c r="G115" s="5"/>
      <c r="H115" s="5"/>
      <c r="I115" s="5"/>
      <c r="J115" s="5"/>
      <c r="K115" s="5"/>
    </row>
    <row r="116" spans="2:11">
      <c r="B116" s="5"/>
      <c r="D116" s="5"/>
      <c r="E116" s="5"/>
      <c r="F116" s="5"/>
      <c r="G116" s="5"/>
      <c r="H116" s="5"/>
      <c r="I116" s="5"/>
      <c r="J116" s="5"/>
      <c r="K116" s="5"/>
    </row>
    <row r="117" spans="2:11">
      <c r="B117" s="5"/>
      <c r="D117" s="5"/>
      <c r="E117" s="5"/>
      <c r="F117" s="5"/>
      <c r="G117" s="5"/>
      <c r="H117" s="5"/>
      <c r="I117" s="5"/>
      <c r="J117" s="5"/>
      <c r="K117" s="5"/>
    </row>
    <row r="118" spans="2:11">
      <c r="B118" s="5"/>
      <c r="D118" s="5"/>
      <c r="E118" s="5"/>
      <c r="F118" s="5"/>
      <c r="G118" s="5"/>
      <c r="H118" s="5"/>
      <c r="I118" s="5"/>
      <c r="J118" s="5"/>
      <c r="K118" s="5"/>
    </row>
    <row r="119" spans="2:11">
      <c r="B119" s="5"/>
      <c r="D119" s="5"/>
      <c r="E119" s="5"/>
      <c r="F119" s="5"/>
      <c r="G119" s="5"/>
      <c r="H119" s="5"/>
      <c r="I119" s="5"/>
      <c r="J119" s="5"/>
      <c r="K119" s="5"/>
    </row>
    <row r="120" spans="2:11">
      <c r="B120" s="5"/>
      <c r="D120" s="5"/>
      <c r="E120" s="5"/>
      <c r="F120" s="5"/>
      <c r="G120" s="5"/>
      <c r="H120" s="5"/>
      <c r="I120" s="5"/>
      <c r="J120" s="5"/>
      <c r="K120" s="5"/>
    </row>
    <row r="121" spans="2:11">
      <c r="B121" s="5"/>
      <c r="D121" s="5"/>
      <c r="E121" s="5"/>
      <c r="F121" s="5"/>
      <c r="G121" s="5"/>
      <c r="H121" s="5"/>
      <c r="I121" s="5"/>
      <c r="J121" s="5"/>
      <c r="K121" s="5"/>
    </row>
    <row r="122" spans="2:11">
      <c r="B122" s="5"/>
      <c r="D122" s="5"/>
      <c r="E122" s="5"/>
      <c r="F122" s="5"/>
      <c r="G122" s="5"/>
      <c r="H122" s="5"/>
      <c r="I122" s="5"/>
      <c r="J122" s="5"/>
      <c r="K122" s="5"/>
    </row>
    <row r="123" spans="2:11">
      <c r="B123" s="5"/>
      <c r="D123" s="5"/>
      <c r="E123" s="5"/>
      <c r="F123" s="5"/>
      <c r="G123" s="5"/>
      <c r="H123" s="5"/>
      <c r="I123" s="5"/>
      <c r="J123" s="5"/>
      <c r="K123" s="5"/>
    </row>
    <row r="124" spans="2:11">
      <c r="B124" s="5"/>
      <c r="D124" s="5"/>
      <c r="E124" s="5"/>
      <c r="F124" s="5"/>
      <c r="G124" s="5"/>
      <c r="H124" s="5"/>
      <c r="I124" s="5"/>
      <c r="J124" s="5"/>
      <c r="K124" s="5"/>
    </row>
    <row r="125" spans="2:11">
      <c r="B125" s="5"/>
      <c r="D125" s="5"/>
      <c r="E125" s="5"/>
      <c r="F125" s="5"/>
      <c r="G125" s="5"/>
      <c r="H125" s="5"/>
      <c r="I125" s="5"/>
      <c r="J125" s="5"/>
      <c r="K125" s="5"/>
    </row>
    <row r="126" spans="2:11">
      <c r="B126" s="5"/>
      <c r="D126" s="5"/>
      <c r="E126" s="5"/>
      <c r="F126" s="5"/>
      <c r="G126" s="5"/>
      <c r="H126" s="5"/>
      <c r="I126" s="5"/>
      <c r="J126" s="5"/>
      <c r="K126" s="5"/>
    </row>
    <row r="127" spans="2:11">
      <c r="B127" s="5"/>
      <c r="D127" s="5"/>
      <c r="E127" s="5"/>
      <c r="F127" s="5"/>
      <c r="G127" s="5"/>
      <c r="H127" s="5"/>
      <c r="I127" s="5"/>
      <c r="J127" s="5"/>
      <c r="K127" s="5"/>
    </row>
    <row r="128" spans="2:11">
      <c r="B128" s="5"/>
      <c r="D128" s="5"/>
      <c r="E128" s="5"/>
      <c r="F128" s="5"/>
      <c r="G128" s="5"/>
      <c r="H128" s="5"/>
      <c r="I128" s="5"/>
      <c r="J128" s="5"/>
      <c r="K128" s="5"/>
    </row>
    <row r="129" spans="2:11">
      <c r="B129" s="5"/>
      <c r="D129" s="5"/>
      <c r="E129" s="5"/>
      <c r="F129" s="5"/>
      <c r="G129" s="5"/>
      <c r="H129" s="5"/>
      <c r="I129" s="5"/>
      <c r="J129" s="5"/>
      <c r="K129" s="5"/>
    </row>
    <row r="130" spans="2:11">
      <c r="B130" s="5"/>
      <c r="D130" s="5"/>
      <c r="E130" s="5"/>
      <c r="F130" s="5"/>
      <c r="G130" s="5"/>
      <c r="H130" s="5"/>
      <c r="I130" s="5"/>
      <c r="J130" s="5"/>
      <c r="K130" s="5"/>
    </row>
    <row r="131" spans="2:11">
      <c r="B131" s="5"/>
      <c r="D131" s="5"/>
      <c r="E131" s="5"/>
      <c r="F131" s="5"/>
      <c r="G131" s="5"/>
      <c r="H131" s="5"/>
      <c r="I131" s="5"/>
      <c r="J131" s="5"/>
      <c r="K131" s="5"/>
    </row>
    <row r="132" spans="2:11">
      <c r="B132" s="5"/>
      <c r="D132" s="5"/>
      <c r="E132" s="5"/>
      <c r="F132" s="5"/>
      <c r="G132" s="5"/>
      <c r="H132" s="5"/>
      <c r="I132" s="5"/>
      <c r="J132" s="5"/>
      <c r="K132" s="5"/>
    </row>
    <row r="133" spans="2:11">
      <c r="B133" s="5"/>
      <c r="D133" s="5"/>
      <c r="E133" s="5"/>
      <c r="F133" s="5"/>
      <c r="G133" s="5"/>
      <c r="H133" s="5"/>
      <c r="I133" s="5"/>
      <c r="J133" s="5"/>
      <c r="K133" s="5"/>
    </row>
    <row r="134" spans="2:11">
      <c r="B134" s="5"/>
      <c r="D134" s="5"/>
      <c r="E134" s="5"/>
      <c r="F134" s="5"/>
      <c r="G134" s="5"/>
      <c r="H134" s="5"/>
      <c r="I134" s="5"/>
      <c r="J134" s="5"/>
      <c r="K134" s="5"/>
    </row>
    <row r="135" spans="2:11">
      <c r="B135" s="5"/>
      <c r="D135" s="5"/>
      <c r="E135" s="5"/>
      <c r="F135" s="5"/>
      <c r="G135" s="5"/>
      <c r="H135" s="5"/>
      <c r="I135" s="5"/>
      <c r="J135" s="5"/>
      <c r="K135" s="5"/>
    </row>
    <row r="136" spans="2:11">
      <c r="B136" s="5"/>
      <c r="D136" s="5"/>
      <c r="E136" s="5"/>
      <c r="F136" s="5"/>
      <c r="G136" s="5"/>
      <c r="H136" s="5"/>
      <c r="I136" s="5"/>
      <c r="J136" s="5"/>
      <c r="K136" s="5"/>
    </row>
    <row r="137" spans="2:11">
      <c r="B137" s="5"/>
      <c r="D137" s="5"/>
      <c r="E137" s="5"/>
      <c r="F137" s="5"/>
      <c r="G137" s="5"/>
      <c r="H137" s="5"/>
      <c r="I137" s="5"/>
      <c r="J137" s="5"/>
      <c r="K137" s="5"/>
    </row>
    <row r="138" spans="2:11">
      <c r="B138" s="5"/>
      <c r="D138" s="5"/>
      <c r="E138" s="5"/>
      <c r="F138" s="5"/>
      <c r="G138" s="5"/>
      <c r="H138" s="5"/>
      <c r="I138" s="5"/>
      <c r="J138" s="5"/>
      <c r="K138" s="5"/>
    </row>
    <row r="139" spans="2:11">
      <c r="B139" s="5"/>
      <c r="D139" s="5"/>
      <c r="E139" s="5"/>
      <c r="F139" s="5"/>
      <c r="G139" s="5"/>
      <c r="H139" s="5"/>
      <c r="I139" s="5"/>
      <c r="J139" s="5"/>
      <c r="K139" s="5"/>
    </row>
    <row r="140" spans="2:11">
      <c r="B140" s="5"/>
      <c r="D140" s="5"/>
      <c r="E140" s="5"/>
      <c r="F140" s="5"/>
      <c r="G140" s="5"/>
      <c r="H140" s="5"/>
      <c r="I140" s="5"/>
      <c r="J140" s="5"/>
      <c r="K140" s="5"/>
    </row>
    <row r="141" spans="2:11">
      <c r="B141" s="5"/>
      <c r="D141" s="5"/>
      <c r="E141" s="5"/>
      <c r="F141" s="5"/>
      <c r="G141" s="5"/>
      <c r="H141" s="5"/>
      <c r="I141" s="5"/>
      <c r="J141" s="5"/>
      <c r="K141" s="5"/>
    </row>
    <row r="142" spans="2:11">
      <c r="B142" s="5"/>
      <c r="D142" s="5"/>
      <c r="E142" s="5"/>
      <c r="F142" s="5"/>
      <c r="G142" s="5"/>
      <c r="H142" s="5"/>
      <c r="I142" s="5"/>
      <c r="J142" s="5"/>
      <c r="K142" s="5"/>
    </row>
    <row r="143" spans="2:11">
      <c r="B143" s="5"/>
      <c r="D143" s="5"/>
      <c r="E143" s="5"/>
      <c r="F143" s="5"/>
      <c r="G143" s="5"/>
      <c r="H143" s="5"/>
      <c r="I143" s="5"/>
      <c r="J143" s="5"/>
      <c r="K143" s="5"/>
    </row>
    <row r="144" spans="2:11">
      <c r="B144" s="5"/>
      <c r="D144" s="5"/>
      <c r="E144" s="5"/>
      <c r="F144" s="5"/>
      <c r="G144" s="5"/>
      <c r="H144" s="5"/>
      <c r="I144" s="5"/>
      <c r="J144" s="5"/>
      <c r="K144" s="5"/>
    </row>
    <row r="145" spans="2:11">
      <c r="B145" s="5"/>
      <c r="D145" s="5"/>
      <c r="E145" s="5"/>
      <c r="F145" s="5"/>
      <c r="G145" s="5"/>
      <c r="H145" s="5"/>
      <c r="I145" s="5"/>
      <c r="J145" s="5"/>
      <c r="K145" s="5"/>
    </row>
    <row r="146" spans="2:11">
      <c r="B146" s="5"/>
      <c r="D146" s="5"/>
      <c r="E146" s="5"/>
      <c r="F146" s="5"/>
      <c r="G146" s="5"/>
      <c r="H146" s="5"/>
      <c r="I146" s="5"/>
      <c r="J146" s="5"/>
      <c r="K146" s="5"/>
    </row>
    <row r="147" spans="2:11">
      <c r="B147" s="5"/>
      <c r="D147" s="5"/>
      <c r="E147" s="5"/>
      <c r="F147" s="5"/>
      <c r="G147" s="5"/>
      <c r="H147" s="5"/>
      <c r="I147" s="5"/>
      <c r="J147" s="5"/>
      <c r="K147" s="5"/>
    </row>
    <row r="148" spans="2:11">
      <c r="B148" s="5"/>
      <c r="D148" s="5"/>
      <c r="E148" s="5"/>
      <c r="F148" s="5"/>
      <c r="G148" s="5"/>
      <c r="H148" s="5"/>
      <c r="I148" s="5"/>
      <c r="J148" s="5"/>
      <c r="K148" s="5"/>
    </row>
    <row r="149" spans="2:11">
      <c r="B149" s="5"/>
      <c r="D149" s="5"/>
      <c r="E149" s="5"/>
      <c r="F149" s="5"/>
      <c r="G149" s="5"/>
      <c r="H149" s="5"/>
      <c r="I149" s="5"/>
      <c r="J149" s="5"/>
      <c r="K149" s="5"/>
    </row>
    <row r="150" spans="2:11">
      <c r="B150" s="5"/>
      <c r="D150" s="5"/>
      <c r="E150" s="5"/>
      <c r="F150" s="5"/>
      <c r="G150" s="5"/>
      <c r="H150" s="5"/>
      <c r="I150" s="5"/>
      <c r="J150" s="5"/>
      <c r="K150" s="5"/>
    </row>
    <row r="151" spans="2:11">
      <c r="B151" s="5"/>
      <c r="D151" s="5"/>
      <c r="E151" s="5"/>
      <c r="F151" s="5"/>
      <c r="G151" s="5"/>
      <c r="H151" s="5"/>
      <c r="I151" s="5"/>
      <c r="J151" s="5"/>
      <c r="K151" s="5"/>
    </row>
    <row r="152" spans="2:11">
      <c r="B152" s="5"/>
      <c r="D152" s="5"/>
      <c r="E152" s="5"/>
      <c r="F152" s="5"/>
      <c r="G152" s="5"/>
      <c r="H152" s="5"/>
      <c r="I152" s="5"/>
      <c r="J152" s="5"/>
      <c r="K152" s="5"/>
    </row>
    <row r="153" spans="2:11">
      <c r="B153" s="5"/>
      <c r="D153" s="5"/>
      <c r="E153" s="5"/>
      <c r="F153" s="5"/>
      <c r="G153" s="5"/>
      <c r="H153" s="5"/>
      <c r="I153" s="5"/>
      <c r="J153" s="5"/>
      <c r="K153" s="5"/>
    </row>
    <row r="154" spans="2:11">
      <c r="B154" s="5"/>
      <c r="D154" s="5"/>
      <c r="E154" s="5"/>
      <c r="F154" s="5"/>
      <c r="G154" s="5"/>
      <c r="H154" s="5"/>
      <c r="I154" s="5"/>
      <c r="J154" s="5"/>
      <c r="K154" s="5"/>
    </row>
    <row r="155" spans="2:11">
      <c r="B155" s="5"/>
      <c r="D155" s="5"/>
      <c r="E155" s="5"/>
      <c r="F155" s="5"/>
      <c r="G155" s="5"/>
      <c r="H155" s="5"/>
      <c r="I155" s="5"/>
      <c r="J155" s="5"/>
      <c r="K155" s="5"/>
    </row>
    <row r="156" spans="2:11">
      <c r="B156" s="5"/>
      <c r="D156" s="5"/>
      <c r="E156" s="5"/>
      <c r="F156" s="5"/>
      <c r="G156" s="5"/>
      <c r="H156" s="5"/>
      <c r="I156" s="5"/>
      <c r="J156" s="5"/>
      <c r="K156" s="5"/>
    </row>
    <row r="157" spans="2:11">
      <c r="B157" s="5"/>
      <c r="D157" s="5"/>
      <c r="E157" s="5"/>
      <c r="F157" s="5"/>
      <c r="G157" s="5"/>
      <c r="H157" s="5"/>
      <c r="I157" s="5"/>
      <c r="J157" s="5"/>
      <c r="K157" s="5"/>
    </row>
    <row r="158" spans="2:11">
      <c r="B158" s="5"/>
      <c r="D158" s="5"/>
      <c r="E158" s="5"/>
      <c r="F158" s="5"/>
      <c r="G158" s="5"/>
      <c r="H158" s="5"/>
      <c r="I158" s="5"/>
      <c r="J158" s="5"/>
      <c r="K158" s="5"/>
    </row>
    <row r="159" spans="2:11">
      <c r="B159" s="5"/>
      <c r="D159" s="5"/>
      <c r="E159" s="5"/>
      <c r="F159" s="5"/>
      <c r="G159" s="5"/>
      <c r="H159" s="5"/>
      <c r="I159" s="5"/>
      <c r="J159" s="5"/>
      <c r="K159" s="5"/>
    </row>
    <row r="160" spans="2:11">
      <c r="B160" s="5"/>
      <c r="D160" s="5"/>
      <c r="E160" s="5"/>
      <c r="F160" s="5"/>
      <c r="G160" s="5"/>
      <c r="H160" s="5"/>
      <c r="I160" s="5"/>
      <c r="J160" s="5"/>
      <c r="K160" s="5"/>
    </row>
    <row r="161" spans="2:11">
      <c r="B161" s="5"/>
      <c r="D161" s="5"/>
      <c r="E161" s="5"/>
      <c r="F161" s="5"/>
      <c r="G161" s="5"/>
      <c r="H161" s="5"/>
      <c r="I161" s="5"/>
      <c r="J161" s="5"/>
      <c r="K161" s="5"/>
    </row>
    <row r="162" spans="2:11">
      <c r="B162" s="5"/>
      <c r="D162" s="5"/>
      <c r="E162" s="5"/>
      <c r="F162" s="5"/>
      <c r="G162" s="5"/>
      <c r="H162" s="5"/>
      <c r="I162" s="5"/>
      <c r="J162" s="5"/>
      <c r="K162" s="5"/>
    </row>
    <row r="163" spans="2:11">
      <c r="B163" s="5"/>
      <c r="D163" s="5"/>
      <c r="E163" s="5"/>
      <c r="F163" s="5"/>
      <c r="G163" s="5"/>
      <c r="H163" s="5"/>
      <c r="I163" s="5"/>
      <c r="J163" s="5"/>
      <c r="K163" s="5"/>
    </row>
    <row r="164" spans="2:11">
      <c r="B164" s="5"/>
      <c r="D164" s="5"/>
      <c r="E164" s="5"/>
      <c r="F164" s="5"/>
      <c r="G164" s="5"/>
      <c r="H164" s="5"/>
      <c r="I164" s="5"/>
      <c r="J164" s="5"/>
      <c r="K164" s="5"/>
    </row>
    <row r="165" spans="2:11">
      <c r="B165" s="5"/>
      <c r="D165" s="5"/>
      <c r="E165" s="5"/>
      <c r="F165" s="5"/>
      <c r="G165" s="5"/>
      <c r="H165" s="5"/>
      <c r="I165" s="5"/>
      <c r="J165" s="5"/>
      <c r="K165" s="5"/>
    </row>
    <row r="166" spans="2:11">
      <c r="B166" s="5"/>
      <c r="D166" s="5"/>
      <c r="E166" s="5"/>
      <c r="F166" s="5"/>
      <c r="G166" s="5"/>
      <c r="H166" s="5"/>
      <c r="I166" s="5"/>
      <c r="J166" s="5"/>
      <c r="K166" s="5"/>
    </row>
    <row r="167" spans="2:11">
      <c r="B167" s="5"/>
      <c r="D167" s="5"/>
      <c r="E167" s="5"/>
      <c r="F167" s="5"/>
      <c r="G167" s="5"/>
      <c r="H167" s="5"/>
      <c r="I167" s="5"/>
      <c r="J167" s="5"/>
      <c r="K167" s="5"/>
    </row>
    <row r="168" spans="2:11">
      <c r="B168" s="5"/>
      <c r="D168" s="5"/>
      <c r="E168" s="5"/>
      <c r="F168" s="5"/>
      <c r="G168" s="5"/>
      <c r="H168" s="5"/>
      <c r="I168" s="5"/>
      <c r="J168" s="5"/>
      <c r="K168" s="5"/>
    </row>
    <row r="169" spans="2:11">
      <c r="B169" s="5"/>
      <c r="D169" s="5"/>
      <c r="E169" s="5"/>
      <c r="F169" s="5"/>
      <c r="G169" s="5"/>
      <c r="H169" s="5"/>
      <c r="I169" s="5"/>
      <c r="J169" s="5"/>
      <c r="K169" s="5"/>
    </row>
    <row r="170" spans="2:11">
      <c r="B170" s="5"/>
      <c r="D170" s="5"/>
      <c r="E170" s="5"/>
      <c r="F170" s="5"/>
      <c r="G170" s="5"/>
      <c r="H170" s="5"/>
      <c r="I170" s="5"/>
      <c r="J170" s="5"/>
      <c r="K170" s="5"/>
    </row>
    <row r="171" spans="2:11">
      <c r="B171" s="5"/>
      <c r="D171" s="5"/>
      <c r="E171" s="5"/>
      <c r="F171" s="5"/>
      <c r="G171" s="5"/>
      <c r="H171" s="5"/>
      <c r="I171" s="5"/>
      <c r="J171" s="5"/>
      <c r="K171" s="5"/>
    </row>
    <row r="172" spans="2:11">
      <c r="B172" s="5"/>
      <c r="D172" s="5"/>
      <c r="E172" s="5"/>
      <c r="F172" s="5"/>
      <c r="G172" s="5"/>
      <c r="H172" s="5"/>
      <c r="I172" s="5"/>
      <c r="J172" s="5"/>
      <c r="K172" s="5"/>
    </row>
    <row r="173" spans="2:11">
      <c r="B173" s="5"/>
      <c r="D173" s="5"/>
      <c r="E173" s="5"/>
      <c r="F173" s="5"/>
      <c r="G173" s="5"/>
      <c r="H173" s="5"/>
      <c r="I173" s="5"/>
      <c r="J173" s="5"/>
      <c r="K173" s="5"/>
    </row>
    <row r="174" spans="2:11">
      <c r="B174" s="5"/>
      <c r="D174" s="5"/>
      <c r="E174" s="5"/>
      <c r="F174" s="5"/>
      <c r="G174" s="5"/>
      <c r="H174" s="5"/>
      <c r="I174" s="5"/>
      <c r="J174" s="5"/>
      <c r="K174" s="5"/>
    </row>
    <row r="175" spans="2:11">
      <c r="B175" s="5"/>
      <c r="D175" s="5"/>
      <c r="E175" s="5"/>
      <c r="F175" s="5"/>
      <c r="G175" s="5"/>
      <c r="H175" s="5"/>
      <c r="I175" s="5"/>
      <c r="J175" s="5"/>
      <c r="K175" s="5"/>
    </row>
  </sheetData>
  <sheetProtection insertRows="0"/>
  <mergeCells count="25">
    <mergeCell ref="B10:D10"/>
    <mergeCell ref="F10:S10"/>
    <mergeCell ref="F11:S11"/>
    <mergeCell ref="E12:R12"/>
    <mergeCell ref="E13:R13"/>
    <mergeCell ref="B56:E57"/>
    <mergeCell ref="B63:B71"/>
    <mergeCell ref="B73:B79"/>
    <mergeCell ref="B80:B93"/>
    <mergeCell ref="D15:K15"/>
    <mergeCell ref="D23:K23"/>
    <mergeCell ref="D24:K24"/>
    <mergeCell ref="D25:K25"/>
    <mergeCell ref="D30:K30"/>
    <mergeCell ref="D31:K31"/>
    <mergeCell ref="B33:E33"/>
    <mergeCell ref="B34:B40"/>
    <mergeCell ref="B42:E42"/>
    <mergeCell ref="B43:B49"/>
    <mergeCell ref="B15:B25"/>
    <mergeCell ref="A1:P1"/>
    <mergeCell ref="A2:P2"/>
    <mergeCell ref="A3:P3"/>
    <mergeCell ref="A4:D4"/>
    <mergeCell ref="A5:P5"/>
  </mergeCells>
  <conditionalFormatting sqref="E12:R12">
    <cfRule type="expression" dxfId="65" priority="3">
      <formula>E11="SI SE REPORTA"</formula>
    </cfRule>
  </conditionalFormatting>
  <conditionalFormatting sqref="F10">
    <cfRule type="notContainsBlanks" dxfId="64" priority="6">
      <formula>LEN(TRIM(F10))&gt;0</formula>
    </cfRule>
  </conditionalFormatting>
  <conditionalFormatting sqref="F11:S11">
    <cfRule type="expression" dxfId="63" priority="1">
      <formula>E11="NO SE REPORTA"</formula>
    </cfRule>
    <cfRule type="expression" dxfId="62" priority="2">
      <formula>E10="NO APLICA"</formula>
    </cfRule>
  </conditionalFormatting>
  <dataValidations count="5">
    <dataValidation type="whole" operator="greaterThanOrEqual" allowBlank="1" showInputMessage="1" showErrorMessage="1" errorTitle="ERROR" error="Valor en PESOS (sin centavos)" sqref="G27:J28" xr:uid="{00000000-0002-0000-1300-000000000000}">
      <formula1>0</formula1>
    </dataValidation>
    <dataValidation type="whole" operator="greaterThanOrEqual" allowBlank="1" showInputMessage="1" showErrorMessage="1" errorTitle="ERROR" error="Valor en HECTAREAS (sin decimales)" sqref="E17:H20 F27" xr:uid="{00000000-0002-0000-1300-000001000000}">
      <formula1>0</formula1>
    </dataValidation>
    <dataValidation type="list" allowBlank="1" showInputMessage="1" showErrorMessage="1" sqref="E11" xr:uid="{00000000-0002-0000-1300-000002000000}">
      <formula1>REPORTE</formula1>
    </dataValidation>
    <dataValidation type="list" allowBlank="1" showInputMessage="1" showErrorMessage="1" sqref="E10" xr:uid="{00000000-0002-0000-1300-000003000000}">
      <formula1>SI</formula1>
    </dataValidation>
    <dataValidation type="whole" operator="greaterThanOrEqual" allowBlank="1" showInputMessage="1" showErrorMessage="1" errorTitle="ERROR" error="Valor en HECTAREAS (sin decimales)_x000a_" sqref="F28" xr:uid="{36E1019C-6B03-4A71-AD8E-AE1B7DD66E91}">
      <formula1>0</formula1>
    </dataValidation>
  </dataValidations>
  <hyperlinks>
    <hyperlink ref="B9" location="'ANEXO 3'!A1" display="VOLVER AL INDICE" xr:uid="{00000000-0004-0000-1300-000000000000}"/>
    <hyperlink ref="E38" r:id="rId1" xr:uid="{00000000-0004-0000-1300-000001000000}"/>
  </hyperlinks>
  <pageMargins left="0.25" right="0.25" top="0.75" bottom="0.75" header="0.3" footer="0.3"/>
  <pageSetup paperSize="178" orientation="landscape" horizontalDpi="1200" verticalDpi="1200"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6"/>
  <dimension ref="A1:U175"/>
  <sheetViews>
    <sheetView showGridLines="0" topLeftCell="A13" zoomScale="98" zoomScaleNormal="98" workbookViewId="0">
      <selection activeCell="J25" sqref="J25"/>
    </sheetView>
  </sheetViews>
  <sheetFormatPr baseColWidth="10" defaultRowHeight="14.4"/>
  <cols>
    <col min="1" max="1" width="1.88671875" customWidth="1"/>
    <col min="2" max="2" width="12.88671875" customWidth="1"/>
    <col min="3" max="3" width="5" style="66" bestFit="1" customWidth="1"/>
    <col min="4" max="4" width="34.88671875" customWidth="1"/>
    <col min="5" max="5" width="21" customWidth="1"/>
    <col min="10" max="10" width="69.44140625" customWidth="1"/>
  </cols>
  <sheetData>
    <row r="1" spans="1:21" s="314" customFormat="1" ht="100.5" customHeight="1" thickBot="1">
      <c r="A1" s="1421"/>
      <c r="B1" s="1422"/>
      <c r="C1" s="1422"/>
      <c r="D1" s="1422"/>
      <c r="E1" s="1422"/>
      <c r="F1" s="1422"/>
      <c r="G1" s="1422"/>
      <c r="H1" s="1422"/>
      <c r="I1" s="1422"/>
      <c r="J1" s="1422"/>
      <c r="K1" s="1422"/>
      <c r="L1" s="1422"/>
      <c r="M1" s="1422"/>
      <c r="N1" s="1422"/>
      <c r="O1" s="1422"/>
      <c r="P1" s="1423"/>
      <c r="Q1"/>
      <c r="R1"/>
    </row>
    <row r="2" spans="1:21" s="315" customFormat="1" ht="16.2" thickBot="1">
      <c r="A2" s="1418" t="str">
        <f>+'Datos Generales'!C5</f>
        <v>Corporación Autónoma Regional del Atlántico – CRA</v>
      </c>
      <c r="B2" s="1419"/>
      <c r="C2" s="1419"/>
      <c r="D2" s="1419"/>
      <c r="E2" s="1419"/>
      <c r="F2" s="1419"/>
      <c r="G2" s="1419"/>
      <c r="H2" s="1419"/>
      <c r="I2" s="1419"/>
      <c r="J2" s="1419"/>
      <c r="K2" s="1419"/>
      <c r="L2" s="1419"/>
      <c r="M2" s="1419"/>
      <c r="N2" s="1419"/>
      <c r="O2" s="1419"/>
      <c r="P2" s="1420"/>
      <c r="Q2"/>
      <c r="R2"/>
    </row>
    <row r="3" spans="1:21" s="315" customFormat="1" ht="16.2" thickBot="1">
      <c r="A3" s="1426" t="s">
        <v>1295</v>
      </c>
      <c r="B3" s="1427"/>
      <c r="C3" s="1427"/>
      <c r="D3" s="1427"/>
      <c r="E3" s="1427"/>
      <c r="F3" s="1427"/>
      <c r="G3" s="1427"/>
      <c r="H3" s="1427"/>
      <c r="I3" s="1427"/>
      <c r="J3" s="1427"/>
      <c r="K3" s="1427"/>
      <c r="L3" s="1427"/>
      <c r="M3" s="1427"/>
      <c r="N3" s="1427"/>
      <c r="O3" s="1427"/>
      <c r="P3" s="1428"/>
      <c r="Q3"/>
      <c r="R3"/>
    </row>
    <row r="4" spans="1:21" s="315" customFormat="1" ht="16.2" thickBot="1">
      <c r="A4" s="1424" t="s">
        <v>1294</v>
      </c>
      <c r="B4" s="1425"/>
      <c r="C4" s="1425"/>
      <c r="D4" s="1425"/>
      <c r="E4" s="322" t="str">
        <f>+'Datos Generales'!C6</f>
        <v>2023-II</v>
      </c>
      <c r="F4" s="322"/>
      <c r="G4" s="322"/>
      <c r="H4" s="322"/>
      <c r="I4" s="322"/>
      <c r="J4" s="322"/>
      <c r="K4" s="322"/>
      <c r="L4" s="323"/>
      <c r="M4" s="323"/>
      <c r="N4" s="323"/>
      <c r="O4" s="323"/>
      <c r="P4" s="324"/>
      <c r="Q4"/>
      <c r="R4"/>
    </row>
    <row r="5" spans="1:21" ht="16.5" customHeight="1" thickBot="1">
      <c r="A5" s="1426" t="s">
        <v>584</v>
      </c>
      <c r="B5" s="1427"/>
      <c r="C5" s="1427"/>
      <c r="D5" s="1427"/>
      <c r="E5" s="1427"/>
      <c r="F5" s="1427"/>
      <c r="G5" s="1427"/>
      <c r="H5" s="1427"/>
      <c r="I5" s="1427"/>
      <c r="J5" s="1427"/>
      <c r="K5" s="1427"/>
      <c r="L5" s="1427"/>
      <c r="M5" s="1427"/>
      <c r="N5" s="1427"/>
      <c r="O5" s="1427"/>
      <c r="P5" s="1428"/>
    </row>
    <row r="6" spans="1:21">
      <c r="B6" s="1" t="s">
        <v>1</v>
      </c>
      <c r="C6" s="64"/>
      <c r="D6" s="5"/>
      <c r="E6" s="62"/>
      <c r="F6" s="5" t="s">
        <v>127</v>
      </c>
      <c r="G6" s="5"/>
      <c r="H6" s="5"/>
      <c r="I6" s="5"/>
      <c r="J6" s="5"/>
      <c r="K6" s="5"/>
    </row>
    <row r="7" spans="1:21" ht="15" thickBot="1">
      <c r="B7" s="63"/>
      <c r="C7" s="65"/>
      <c r="D7" s="5"/>
      <c r="E7" s="14"/>
      <c r="F7" s="5" t="s">
        <v>128</v>
      </c>
      <c r="G7" s="5"/>
      <c r="H7" s="5"/>
      <c r="I7" s="5"/>
      <c r="J7" s="5"/>
      <c r="K7" s="5"/>
    </row>
    <row r="8" spans="1:21" ht="15" thickBot="1">
      <c r="B8" s="143" t="s">
        <v>1180</v>
      </c>
      <c r="C8" s="571">
        <v>2023</v>
      </c>
      <c r="D8" s="171">
        <f>IF(E10="NO APLICA","NO APLICA",IF(E11="NO SE REPORTA","SIN INFORMACION",+I27))</f>
        <v>0.99999999999999989</v>
      </c>
      <c r="E8" s="168"/>
      <c r="F8" s="5" t="s">
        <v>129</v>
      </c>
      <c r="G8" s="5"/>
      <c r="H8" s="5"/>
      <c r="I8" s="5"/>
      <c r="J8" s="5"/>
      <c r="K8" s="5"/>
    </row>
    <row r="9" spans="1:21">
      <c r="B9" s="300" t="s">
        <v>1181</v>
      </c>
      <c r="D9" s="5"/>
      <c r="E9" s="5"/>
      <c r="F9" s="5"/>
      <c r="G9" s="5"/>
      <c r="H9" s="5"/>
      <c r="I9" s="5"/>
      <c r="J9" s="5"/>
      <c r="K9" s="5"/>
    </row>
    <row r="10" spans="1:21">
      <c r="B10" s="1429" t="s">
        <v>1236</v>
      </c>
      <c r="C10" s="1429"/>
      <c r="D10" s="1429"/>
      <c r="E10" s="303" t="s">
        <v>1233</v>
      </c>
      <c r="F10" s="1436"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437"/>
      <c r="H10" s="1437"/>
      <c r="I10" s="1437"/>
      <c r="J10" s="1437"/>
      <c r="K10" s="1437"/>
      <c r="L10" s="1437"/>
      <c r="M10" s="1437"/>
      <c r="N10" s="1437"/>
      <c r="O10" s="1437"/>
      <c r="P10" s="1437"/>
      <c r="Q10" s="1437"/>
      <c r="R10" s="1437"/>
      <c r="S10" s="1437"/>
      <c r="T10" s="5"/>
      <c r="U10" s="5"/>
    </row>
    <row r="11" spans="1:21" ht="14.4" customHeight="1">
      <c r="B11" s="302"/>
      <c r="C11" s="67"/>
      <c r="D11" s="144" t="str">
        <f>IF(E10="SI APLICA","¿El indicador no se reporta por limitaciones de información disponible? ","")</f>
        <v xml:space="preserve">¿El indicador no se reporta por limitaciones de información disponible? </v>
      </c>
      <c r="E11" s="304" t="s">
        <v>1235</v>
      </c>
      <c r="F11" s="1430"/>
      <c r="G11" s="1431"/>
      <c r="H11" s="1431"/>
      <c r="I11" s="1431"/>
      <c r="J11" s="1431"/>
      <c r="K11" s="1431"/>
      <c r="L11" s="1431"/>
      <c r="M11" s="1431"/>
      <c r="N11" s="1431"/>
      <c r="O11" s="1431"/>
      <c r="P11" s="1431"/>
      <c r="Q11" s="1431"/>
      <c r="R11" s="1431"/>
      <c r="S11" s="1431"/>
    </row>
    <row r="12" spans="1:21" ht="57.75" customHeight="1">
      <c r="B12" s="300"/>
      <c r="C12" s="67"/>
      <c r="D12" s="144" t="str">
        <f>IF(E11="SI SE REPORTA","¿Qué programas o proyectos del Plan de Acción están asociados al indicador? ","")</f>
        <v xml:space="preserve">¿Qué programas o proyectos del Plan de Acción están asociados al indicador? </v>
      </c>
      <c r="E12" s="1432" t="s">
        <v>1933</v>
      </c>
      <c r="F12" s="1432"/>
      <c r="G12" s="1432"/>
      <c r="H12" s="1432"/>
      <c r="I12" s="1432"/>
      <c r="J12" s="1432"/>
      <c r="K12" s="1432"/>
      <c r="L12" s="1432"/>
      <c r="M12" s="1432"/>
      <c r="N12" s="1432"/>
      <c r="O12" s="1432"/>
      <c r="P12" s="1432"/>
      <c r="Q12" s="1432"/>
      <c r="R12" s="1432"/>
    </row>
    <row r="13" spans="1:21" ht="21.9" customHeight="1">
      <c r="B13" s="300"/>
      <c r="C13" s="67"/>
      <c r="D13" s="144" t="s">
        <v>1238</v>
      </c>
      <c r="E13" s="1433" t="s">
        <v>1934</v>
      </c>
      <c r="F13" s="1434"/>
      <c r="G13" s="1434"/>
      <c r="H13" s="1434"/>
      <c r="I13" s="1434"/>
      <c r="J13" s="1434"/>
      <c r="K13" s="1434"/>
      <c r="L13" s="1434"/>
      <c r="M13" s="1434"/>
      <c r="N13" s="1434"/>
      <c r="O13" s="1434"/>
      <c r="P13" s="1434"/>
      <c r="Q13" s="1434"/>
      <c r="R13" s="1435"/>
    </row>
    <row r="14" spans="1:21" ht="6.9" customHeight="1" thickBot="1">
      <c r="B14" s="300"/>
      <c r="D14" s="5"/>
      <c r="E14" s="5"/>
      <c r="F14" s="5"/>
      <c r="G14" s="5"/>
      <c r="H14" s="5"/>
      <c r="I14" s="5"/>
      <c r="J14" s="5"/>
      <c r="K14" s="5"/>
    </row>
    <row r="15" spans="1:21" ht="15" customHeight="1" thickTop="1">
      <c r="B15" s="1561" t="s">
        <v>2</v>
      </c>
      <c r="C15" s="68"/>
      <c r="D15" s="1450" t="s">
        <v>335</v>
      </c>
      <c r="E15" s="1451"/>
      <c r="F15" s="1451"/>
      <c r="G15" s="1451"/>
      <c r="H15" s="1451"/>
      <c r="I15" s="1451"/>
      <c r="J15" s="1451"/>
      <c r="K15" s="1452"/>
    </row>
    <row r="16" spans="1:21" ht="15" thickBot="1">
      <c r="B16" s="1484"/>
      <c r="C16" s="71"/>
      <c r="D16" s="1667" t="s">
        <v>615</v>
      </c>
      <c r="E16" s="1668"/>
      <c r="F16" s="1668"/>
      <c r="G16" s="1668"/>
      <c r="H16" s="1668"/>
      <c r="I16" s="1668"/>
      <c r="J16" s="1668"/>
      <c r="K16" s="1669"/>
    </row>
    <row r="17" spans="2:11" ht="15" thickBot="1">
      <c r="B17" s="1484"/>
      <c r="C17" s="69" t="s">
        <v>18</v>
      </c>
      <c r="D17" s="30" t="s">
        <v>252</v>
      </c>
      <c r="E17" s="30" t="s">
        <v>19</v>
      </c>
      <c r="F17" s="30" t="s">
        <v>20</v>
      </c>
      <c r="G17" s="30" t="s">
        <v>21</v>
      </c>
      <c r="H17" s="30" t="s">
        <v>22</v>
      </c>
      <c r="I17" s="30" t="s">
        <v>253</v>
      </c>
      <c r="K17" s="17"/>
    </row>
    <row r="18" spans="2:11" ht="29.25" customHeight="1" thickBot="1">
      <c r="B18" s="1484"/>
      <c r="C18" s="70" t="s">
        <v>151</v>
      </c>
      <c r="D18" s="32" t="s">
        <v>616</v>
      </c>
      <c r="E18" s="512">
        <v>3</v>
      </c>
      <c r="F18" s="512">
        <v>2</v>
      </c>
      <c r="G18" s="512">
        <v>5</v>
      </c>
      <c r="H18" s="512">
        <v>7</v>
      </c>
      <c r="I18" s="33">
        <f>SUM(E18:H18)</f>
        <v>17</v>
      </c>
      <c r="K18" s="17"/>
    </row>
    <row r="19" spans="2:11" ht="21.75" customHeight="1" thickBot="1">
      <c r="B19" s="1484"/>
      <c r="C19" s="71"/>
      <c r="D19" s="1498" t="s">
        <v>617</v>
      </c>
      <c r="E19" s="1499"/>
      <c r="F19" s="1499"/>
      <c r="G19" s="1499"/>
      <c r="H19" s="1499"/>
      <c r="I19" s="1499"/>
      <c r="J19" s="1499"/>
      <c r="K19" s="1500"/>
    </row>
    <row r="20" spans="2:11" ht="15" customHeight="1" thickBot="1">
      <c r="B20" s="175"/>
      <c r="C20" s="1670" t="s">
        <v>18</v>
      </c>
      <c r="D20" s="1672" t="s">
        <v>269</v>
      </c>
      <c r="E20" s="1672" t="s">
        <v>618</v>
      </c>
      <c r="F20" s="1674" t="s">
        <v>619</v>
      </c>
      <c r="G20" s="1675"/>
      <c r="H20" s="1675"/>
      <c r="I20" s="1675"/>
      <c r="J20" s="1676"/>
      <c r="K20" s="92"/>
    </row>
    <row r="21" spans="2:11" ht="21" thickBot="1">
      <c r="B21" s="175"/>
      <c r="C21" s="1671"/>
      <c r="D21" s="1673"/>
      <c r="E21" s="1673"/>
      <c r="F21" s="859" t="s">
        <v>620</v>
      </c>
      <c r="G21" s="859" t="s">
        <v>621</v>
      </c>
      <c r="H21" s="859" t="s">
        <v>622</v>
      </c>
      <c r="I21" s="859" t="s">
        <v>623</v>
      </c>
      <c r="J21" s="859" t="s">
        <v>54</v>
      </c>
      <c r="K21" s="93"/>
    </row>
    <row r="22" spans="2:11" ht="83.25" customHeight="1" thickBot="1">
      <c r="B22" s="175"/>
      <c r="C22" s="25"/>
      <c r="D22" s="709" t="s">
        <v>1848</v>
      </c>
      <c r="E22" s="282" t="s">
        <v>1850</v>
      </c>
      <c r="F22" s="446">
        <v>1</v>
      </c>
      <c r="G22" s="446">
        <v>1</v>
      </c>
      <c r="H22" s="463">
        <v>0.3</v>
      </c>
      <c r="I22" s="799">
        <f>+G22*H22</f>
        <v>0.3</v>
      </c>
      <c r="J22" s="711" t="s">
        <v>1991</v>
      </c>
      <c r="K22" s="93"/>
    </row>
    <row r="23" spans="2:11" ht="110.25" customHeight="1" thickBot="1">
      <c r="B23" s="175"/>
      <c r="C23" s="25"/>
      <c r="D23" s="710" t="s">
        <v>1956</v>
      </c>
      <c r="E23" s="508" t="s">
        <v>1958</v>
      </c>
      <c r="F23" s="446">
        <v>1</v>
      </c>
      <c r="G23" s="446">
        <v>1</v>
      </c>
      <c r="H23" s="463">
        <v>0.35</v>
      </c>
      <c r="I23" s="799">
        <f t="shared" ref="I23:I24" si="0">+G23*H23</f>
        <v>0.35</v>
      </c>
      <c r="J23" s="445" t="s">
        <v>1993</v>
      </c>
      <c r="K23" s="93"/>
    </row>
    <row r="24" spans="2:11" ht="81.75" customHeight="1" thickBot="1">
      <c r="B24" s="175"/>
      <c r="C24" s="25"/>
      <c r="D24" s="709" t="s">
        <v>1957</v>
      </c>
      <c r="E24" s="638" t="s">
        <v>1959</v>
      </c>
      <c r="F24" s="446">
        <v>1</v>
      </c>
      <c r="G24" s="446">
        <v>1</v>
      </c>
      <c r="H24" s="463">
        <v>0.35</v>
      </c>
      <c r="I24" s="799">
        <f t="shared" si="0"/>
        <v>0.35</v>
      </c>
      <c r="J24" s="445" t="s">
        <v>1994</v>
      </c>
      <c r="K24" s="93"/>
    </row>
    <row r="25" spans="2:11" ht="45" customHeight="1" thickBot="1">
      <c r="B25" s="175"/>
      <c r="C25" s="223"/>
      <c r="D25" s="710" t="s">
        <v>1849</v>
      </c>
      <c r="E25" s="282" t="s">
        <v>624</v>
      </c>
      <c r="F25" s="446"/>
      <c r="G25" s="446"/>
      <c r="H25" s="463"/>
      <c r="I25" s="799"/>
      <c r="J25" s="451" t="s">
        <v>1995</v>
      </c>
      <c r="K25" s="93"/>
    </row>
    <row r="26" spans="2:11" ht="24.75" customHeight="1" thickBot="1">
      <c r="B26" s="175"/>
      <c r="C26" s="223"/>
      <c r="D26" s="25"/>
      <c r="E26" s="282"/>
      <c r="F26" s="26"/>
      <c r="G26" s="26"/>
      <c r="H26" s="26"/>
      <c r="I26" s="527">
        <f t="shared" ref="I26" si="1">+G26*H26</f>
        <v>0</v>
      </c>
      <c r="J26" s="24"/>
      <c r="K26" s="93"/>
    </row>
    <row r="27" spans="2:11" ht="21.75" customHeight="1" thickBot="1">
      <c r="B27" s="175"/>
      <c r="C27" s="70"/>
      <c r="D27" s="31" t="s">
        <v>150</v>
      </c>
      <c r="E27" s="31"/>
      <c r="F27" s="31"/>
      <c r="G27" s="31"/>
      <c r="H27" s="153">
        <f>Formulas!D20</f>
        <v>0.99999999999999989</v>
      </c>
      <c r="I27" s="116">
        <f>Formulas!E20</f>
        <v>0.99999999999999989</v>
      </c>
      <c r="J27" s="32"/>
      <c r="K27" s="94"/>
    </row>
    <row r="28" spans="2:11" ht="15" thickBot="1">
      <c r="B28" s="37"/>
      <c r="C28" s="72"/>
      <c r="D28" s="1462" t="s">
        <v>625</v>
      </c>
      <c r="E28" s="1463"/>
      <c r="F28" s="1463"/>
      <c r="G28" s="1463"/>
      <c r="H28" s="1463"/>
      <c r="I28" s="1463"/>
      <c r="J28" s="1463"/>
      <c r="K28" s="1464"/>
    </row>
    <row r="29" spans="2:11" ht="27" customHeight="1" thickBot="1">
      <c r="B29" s="37" t="s">
        <v>33</v>
      </c>
      <c r="C29" s="72"/>
      <c r="D29" s="1462" t="s">
        <v>626</v>
      </c>
      <c r="E29" s="1463"/>
      <c r="F29" s="1463"/>
      <c r="G29" s="1463"/>
      <c r="H29" s="1463"/>
      <c r="I29" s="1463"/>
      <c r="J29" s="1463"/>
      <c r="K29" s="1464"/>
    </row>
    <row r="30" spans="2:11" ht="30.75" customHeight="1" thickBot="1">
      <c r="B30" s="37" t="s">
        <v>35</v>
      </c>
      <c r="C30" s="72"/>
      <c r="D30" s="1462" t="s">
        <v>627</v>
      </c>
      <c r="E30" s="1463"/>
      <c r="F30" s="1463"/>
      <c r="G30" s="1463"/>
      <c r="H30" s="1463"/>
      <c r="I30" s="1463"/>
      <c r="J30" s="1463"/>
      <c r="K30" s="1464"/>
    </row>
    <row r="31" spans="2:11" ht="15" thickBot="1">
      <c r="B31" s="1"/>
      <c r="C31" s="64"/>
      <c r="D31" s="5"/>
      <c r="E31" s="5"/>
      <c r="F31" s="5"/>
      <c r="G31" s="5"/>
      <c r="H31" s="5"/>
      <c r="I31" s="5"/>
      <c r="J31" s="5"/>
      <c r="K31" s="5"/>
    </row>
    <row r="32" spans="2:11" ht="24" customHeight="1" thickBot="1">
      <c r="B32" s="1469" t="s">
        <v>37</v>
      </c>
      <c r="C32" s="1470"/>
      <c r="D32" s="1470"/>
      <c r="E32" s="1471"/>
      <c r="F32" s="5"/>
      <c r="G32" s="5"/>
      <c r="H32" s="5"/>
      <c r="I32" s="5"/>
      <c r="J32" s="5"/>
      <c r="K32" s="5"/>
    </row>
    <row r="33" spans="2:11" ht="26.25" customHeight="1" thickBot="1">
      <c r="B33" s="1459">
        <v>1</v>
      </c>
      <c r="C33" s="73"/>
      <c r="D33" s="38" t="s">
        <v>38</v>
      </c>
      <c r="E33" s="591" t="s">
        <v>1814</v>
      </c>
      <c r="F33" s="5"/>
      <c r="G33" s="5"/>
      <c r="H33" s="5"/>
      <c r="I33" s="5"/>
      <c r="J33" s="5"/>
      <c r="K33" s="5"/>
    </row>
    <row r="34" spans="2:11" ht="24.6" thickBot="1">
      <c r="B34" s="1460"/>
      <c r="C34" s="73"/>
      <c r="D34" s="32" t="s">
        <v>39</v>
      </c>
      <c r="E34" s="24" t="s">
        <v>1975</v>
      </c>
      <c r="F34" s="5"/>
      <c r="G34" s="5"/>
      <c r="H34" s="5"/>
      <c r="I34" s="5"/>
      <c r="J34" s="5"/>
      <c r="K34" s="5"/>
    </row>
    <row r="35" spans="2:11" ht="15" thickBot="1">
      <c r="B35" s="1460"/>
      <c r="C35" s="73"/>
      <c r="D35" s="32" t="s">
        <v>40</v>
      </c>
      <c r="E35" s="24" t="s">
        <v>1821</v>
      </c>
      <c r="F35" s="5"/>
      <c r="G35" s="5"/>
      <c r="H35" s="5"/>
      <c r="I35" s="5"/>
      <c r="J35" s="5"/>
      <c r="K35" s="5"/>
    </row>
    <row r="36" spans="2:11" ht="15" thickBot="1">
      <c r="B36" s="1460"/>
      <c r="C36" s="73"/>
      <c r="D36" s="32" t="s">
        <v>41</v>
      </c>
      <c r="E36" s="25" t="s">
        <v>1976</v>
      </c>
      <c r="F36" s="5"/>
      <c r="G36" s="5"/>
      <c r="H36" s="5"/>
      <c r="I36" s="5"/>
      <c r="J36" s="5"/>
      <c r="K36" s="5"/>
    </row>
    <row r="37" spans="2:11" ht="29.4" thickBot="1">
      <c r="B37" s="1460"/>
      <c r="C37" s="73"/>
      <c r="D37" s="32" t="s">
        <v>42</v>
      </c>
      <c r="E37" s="530" t="s">
        <v>1816</v>
      </c>
      <c r="F37" s="5"/>
      <c r="G37" s="5"/>
      <c r="H37" s="5"/>
      <c r="I37" s="5"/>
      <c r="J37" s="5"/>
      <c r="K37" s="5"/>
    </row>
    <row r="38" spans="2:11" ht="15" thickBot="1">
      <c r="B38" s="1460"/>
      <c r="C38" s="73"/>
      <c r="D38" s="32" t="s">
        <v>43</v>
      </c>
      <c r="E38" s="133">
        <v>3686626</v>
      </c>
      <c r="F38" s="5"/>
      <c r="G38" s="5"/>
      <c r="H38" s="5"/>
      <c r="I38" s="5"/>
      <c r="J38" s="5"/>
      <c r="K38" s="5"/>
    </row>
    <row r="39" spans="2:11" ht="15" thickBot="1">
      <c r="B39" s="1461"/>
      <c r="C39" s="2"/>
      <c r="D39" s="32" t="s">
        <v>44</v>
      </c>
      <c r="E39" s="24" t="s">
        <v>1817</v>
      </c>
      <c r="F39" s="5"/>
      <c r="G39" s="5"/>
      <c r="H39" s="5"/>
      <c r="I39" s="5"/>
      <c r="J39" s="5"/>
      <c r="K39" s="5"/>
    </row>
    <row r="40" spans="2:11" ht="15" thickBot="1">
      <c r="B40" s="1"/>
      <c r="C40" s="64"/>
      <c r="D40" s="5"/>
      <c r="E40" s="5"/>
      <c r="F40" s="5"/>
      <c r="G40" s="5"/>
      <c r="H40" s="5"/>
      <c r="I40" s="5"/>
      <c r="J40" s="5"/>
      <c r="K40" s="5"/>
    </row>
    <row r="41" spans="2:11" ht="15" thickBot="1">
      <c r="B41" s="1469" t="s">
        <v>45</v>
      </c>
      <c r="C41" s="1470"/>
      <c r="D41" s="1470"/>
      <c r="E41" s="1471"/>
      <c r="F41" s="5"/>
      <c r="G41" s="5"/>
      <c r="H41" s="5"/>
      <c r="I41" s="5"/>
      <c r="J41" s="5"/>
      <c r="K41" s="5"/>
    </row>
    <row r="42" spans="2:11" ht="24.6" thickBot="1">
      <c r="B42" s="1459">
        <v>1</v>
      </c>
      <c r="C42" s="73"/>
      <c r="D42" s="38" t="s">
        <v>38</v>
      </c>
      <c r="E42" s="28" t="s">
        <v>46</v>
      </c>
      <c r="F42" s="5"/>
      <c r="G42" s="5"/>
      <c r="H42" s="5"/>
      <c r="I42" s="5"/>
      <c r="J42" s="5"/>
      <c r="K42" s="5"/>
    </row>
    <row r="43" spans="2:11" ht="36.6" thickBot="1">
      <c r="B43" s="1460"/>
      <c r="C43" s="73"/>
      <c r="D43" s="32" t="s">
        <v>39</v>
      </c>
      <c r="E43" s="28" t="s">
        <v>47</v>
      </c>
      <c r="F43" s="5"/>
      <c r="G43" s="5"/>
      <c r="H43" s="5"/>
      <c r="I43" s="5"/>
      <c r="J43" s="5"/>
      <c r="K43" s="5"/>
    </row>
    <row r="44" spans="2:11" ht="15" thickBot="1">
      <c r="B44" s="1460"/>
      <c r="C44" s="73"/>
      <c r="D44" s="32" t="s">
        <v>40</v>
      </c>
      <c r="E44" s="194"/>
      <c r="F44" s="5"/>
      <c r="G44" s="5"/>
      <c r="H44" s="5"/>
      <c r="I44" s="5"/>
      <c r="J44" s="5"/>
      <c r="K44" s="5"/>
    </row>
    <row r="45" spans="2:11" ht="15" thickBot="1">
      <c r="B45" s="1460"/>
      <c r="C45" s="73"/>
      <c r="D45" s="32" t="s">
        <v>41</v>
      </c>
      <c r="E45" s="194"/>
      <c r="F45" s="5"/>
      <c r="G45" s="5"/>
      <c r="H45" s="5"/>
      <c r="I45" s="5"/>
      <c r="J45" s="5"/>
      <c r="K45" s="5"/>
    </row>
    <row r="46" spans="2:11" ht="15" thickBot="1">
      <c r="B46" s="1460"/>
      <c r="C46" s="73"/>
      <c r="D46" s="32" t="s">
        <v>42</v>
      </c>
      <c r="E46" s="194"/>
      <c r="F46" s="5"/>
      <c r="G46" s="5"/>
      <c r="H46" s="5"/>
      <c r="I46" s="5"/>
      <c r="J46" s="5"/>
      <c r="K46" s="5"/>
    </row>
    <row r="47" spans="2:11" ht="15" thickBot="1">
      <c r="B47" s="1460"/>
      <c r="C47" s="73"/>
      <c r="D47" s="32" t="s">
        <v>43</v>
      </c>
      <c r="E47" s="194"/>
      <c r="F47" s="5"/>
      <c r="G47" s="5"/>
      <c r="H47" s="5"/>
      <c r="I47" s="5"/>
      <c r="J47" s="5"/>
      <c r="K47" s="5"/>
    </row>
    <row r="48" spans="2:11" ht="15" thickBot="1">
      <c r="B48" s="1461"/>
      <c r="C48" s="2"/>
      <c r="D48" s="32" t="s">
        <v>44</v>
      </c>
      <c r="E48" s="194"/>
      <c r="F48" s="5"/>
      <c r="G48" s="5"/>
      <c r="H48" s="5"/>
      <c r="I48" s="5"/>
      <c r="J48" s="5"/>
      <c r="K48" s="5"/>
    </row>
    <row r="49" spans="2:11" ht="15" thickBot="1">
      <c r="B49" s="1"/>
      <c r="C49" s="64"/>
      <c r="D49" s="5"/>
      <c r="E49" s="5"/>
      <c r="F49" s="5"/>
      <c r="G49" s="5"/>
      <c r="H49" s="5"/>
      <c r="I49" s="5"/>
      <c r="J49" s="5"/>
      <c r="K49" s="5"/>
    </row>
    <row r="50" spans="2:11" ht="15" customHeight="1" thickBot="1">
      <c r="B50" s="100" t="s">
        <v>48</v>
      </c>
      <c r="C50" s="101"/>
      <c r="D50" s="101"/>
      <c r="E50" s="102"/>
      <c r="G50" s="5"/>
      <c r="H50" s="5"/>
      <c r="I50" s="5"/>
      <c r="J50" s="5"/>
      <c r="K50" s="5"/>
    </row>
    <row r="51" spans="2:11" ht="24.6" thickBot="1">
      <c r="B51" s="37" t="s">
        <v>49</v>
      </c>
      <c r="C51" s="32" t="s">
        <v>50</v>
      </c>
      <c r="D51" s="32" t="s">
        <v>51</v>
      </c>
      <c r="E51" s="32" t="s">
        <v>52</v>
      </c>
      <c r="F51" s="5"/>
      <c r="G51" s="5"/>
      <c r="H51" s="5"/>
      <c r="I51" s="5"/>
      <c r="J51" s="5"/>
    </row>
    <row r="52" spans="2:11" ht="60.6" thickBot="1">
      <c r="B52" s="39">
        <v>42401</v>
      </c>
      <c r="C52" s="32">
        <v>0.01</v>
      </c>
      <c r="D52" s="32" t="s">
        <v>628</v>
      </c>
      <c r="E52" s="32"/>
      <c r="F52" s="5"/>
      <c r="G52" s="5"/>
      <c r="H52" s="5"/>
      <c r="I52" s="5"/>
      <c r="J52" s="5"/>
    </row>
    <row r="53" spans="2:11" ht="15" thickBot="1">
      <c r="B53" s="1"/>
      <c r="C53" s="64"/>
      <c r="D53" s="5"/>
      <c r="E53" s="5"/>
      <c r="F53" s="5"/>
      <c r="G53" s="5"/>
      <c r="H53" s="5"/>
      <c r="I53" s="5"/>
      <c r="J53" s="5"/>
      <c r="K53" s="5"/>
    </row>
    <row r="54" spans="2:11" ht="15" thickBot="1">
      <c r="B54" s="106" t="s">
        <v>54</v>
      </c>
      <c r="C54" s="75"/>
      <c r="D54" s="5"/>
      <c r="E54" s="5"/>
      <c r="F54" s="5"/>
      <c r="G54" s="5"/>
      <c r="H54" s="5"/>
      <c r="I54" s="5"/>
      <c r="J54" s="5"/>
      <c r="K54" s="5"/>
    </row>
    <row r="55" spans="2:11">
      <c r="B55" s="1532"/>
      <c r="C55" s="1533"/>
      <c r="D55" s="1533"/>
      <c r="E55" s="1534"/>
      <c r="F55" s="5"/>
      <c r="G55" s="5"/>
      <c r="H55" s="5"/>
      <c r="I55" s="5"/>
      <c r="J55" s="5"/>
      <c r="K55" s="5"/>
    </row>
    <row r="56" spans="2:11" ht="15" thickBot="1">
      <c r="B56" s="1535"/>
      <c r="C56" s="1536"/>
      <c r="D56" s="1536"/>
      <c r="E56" s="1537"/>
      <c r="F56" s="5"/>
      <c r="G56" s="5"/>
      <c r="H56" s="5"/>
      <c r="I56" s="5"/>
      <c r="J56" s="5"/>
      <c r="K56" s="5"/>
    </row>
    <row r="57" spans="2:11" ht="15" thickBot="1">
      <c r="B57" s="5"/>
      <c r="D57" s="5"/>
      <c r="E57" s="5"/>
      <c r="F57" s="5"/>
      <c r="G57" s="5"/>
      <c r="H57" s="5"/>
      <c r="I57" s="5"/>
      <c r="J57" s="5"/>
      <c r="K57" s="5"/>
    </row>
    <row r="58" spans="2:11" ht="15" thickBot="1">
      <c r="B58" s="1469" t="s">
        <v>449</v>
      </c>
      <c r="C58" s="1470"/>
      <c r="D58" s="1471"/>
      <c r="E58" s="5"/>
      <c r="F58" s="5"/>
      <c r="G58" s="5"/>
      <c r="H58" s="5"/>
      <c r="I58" s="5"/>
      <c r="J58" s="5"/>
      <c r="K58" s="5"/>
    </row>
    <row r="59" spans="2:11" ht="60.6" thickBot="1">
      <c r="B59" s="37" t="s">
        <v>56</v>
      </c>
      <c r="C59" s="2"/>
      <c r="D59" s="32" t="s">
        <v>585</v>
      </c>
      <c r="E59" s="5"/>
      <c r="F59" s="5"/>
      <c r="G59" s="5"/>
      <c r="H59" s="5"/>
      <c r="I59" s="5"/>
      <c r="J59" s="5"/>
      <c r="K59" s="5"/>
    </row>
    <row r="60" spans="2:11">
      <c r="B60" s="1459" t="s">
        <v>58</v>
      </c>
      <c r="C60" s="73"/>
      <c r="D60" s="43" t="s">
        <v>59</v>
      </c>
      <c r="E60" s="5"/>
      <c r="F60" s="5"/>
      <c r="G60" s="5"/>
      <c r="H60" s="5"/>
      <c r="I60" s="5"/>
      <c r="J60" s="5"/>
      <c r="K60" s="5"/>
    </row>
    <row r="61" spans="2:11" ht="108">
      <c r="B61" s="1460"/>
      <c r="C61" s="73"/>
      <c r="D61" s="36" t="s">
        <v>586</v>
      </c>
      <c r="E61" s="5"/>
      <c r="F61" s="5"/>
      <c r="G61" s="5"/>
      <c r="H61" s="5"/>
      <c r="I61" s="5"/>
      <c r="J61" s="5"/>
      <c r="K61" s="5"/>
    </row>
    <row r="62" spans="2:11">
      <c r="B62" s="1460"/>
      <c r="C62" s="73"/>
      <c r="D62" s="43" t="s">
        <v>62</v>
      </c>
      <c r="E62" s="5"/>
      <c r="F62" s="5"/>
      <c r="G62" s="5"/>
      <c r="H62" s="5"/>
      <c r="I62" s="5"/>
      <c r="J62" s="5"/>
      <c r="K62" s="5"/>
    </row>
    <row r="63" spans="2:11">
      <c r="B63" s="1460"/>
      <c r="C63" s="73"/>
      <c r="D63" s="36" t="s">
        <v>587</v>
      </c>
      <c r="E63" s="5"/>
      <c r="F63" s="5"/>
      <c r="G63" s="5"/>
      <c r="H63" s="5"/>
      <c r="I63" s="5"/>
      <c r="J63" s="5"/>
      <c r="K63" s="5"/>
    </row>
    <row r="64" spans="2:11">
      <c r="B64" s="1460"/>
      <c r="C64" s="73"/>
      <c r="D64" s="36" t="s">
        <v>588</v>
      </c>
      <c r="E64" s="5"/>
      <c r="F64" s="5"/>
      <c r="G64" s="5"/>
      <c r="H64" s="5"/>
      <c r="I64" s="5"/>
      <c r="J64" s="5"/>
      <c r="K64" s="5"/>
    </row>
    <row r="65" spans="2:11" ht="24">
      <c r="B65" s="1460"/>
      <c r="C65" s="73"/>
      <c r="D65" s="36" t="s">
        <v>589</v>
      </c>
      <c r="E65" s="5"/>
      <c r="F65" s="5"/>
      <c r="G65" s="5"/>
      <c r="H65" s="5"/>
      <c r="I65" s="5"/>
      <c r="J65" s="5"/>
      <c r="K65" s="5"/>
    </row>
    <row r="66" spans="2:11">
      <c r="B66" s="1460"/>
      <c r="C66" s="73"/>
      <c r="D66" s="36" t="s">
        <v>590</v>
      </c>
      <c r="E66" s="5"/>
      <c r="F66" s="5"/>
      <c r="G66" s="5"/>
      <c r="H66" s="5"/>
      <c r="I66" s="5"/>
      <c r="J66" s="5"/>
      <c r="K66" s="5"/>
    </row>
    <row r="67" spans="2:11">
      <c r="B67" s="1460"/>
      <c r="C67" s="73"/>
      <c r="D67" s="36" t="s">
        <v>591</v>
      </c>
      <c r="E67" s="5"/>
      <c r="F67" s="5"/>
      <c r="G67" s="5"/>
      <c r="H67" s="5"/>
      <c r="I67" s="5"/>
      <c r="J67" s="5"/>
      <c r="K67" s="5"/>
    </row>
    <row r="68" spans="2:11">
      <c r="B68" s="1460"/>
      <c r="C68" s="73"/>
      <c r="D68" s="36" t="s">
        <v>592</v>
      </c>
      <c r="E68" s="5"/>
      <c r="F68" s="5"/>
      <c r="G68" s="5"/>
      <c r="H68" s="5"/>
      <c r="I68" s="5"/>
      <c r="J68" s="5"/>
      <c r="K68" s="5"/>
    </row>
    <row r="69" spans="2:11">
      <c r="B69" s="1460"/>
      <c r="C69" s="73"/>
      <c r="D69" s="43" t="s">
        <v>287</v>
      </c>
      <c r="E69" s="5"/>
      <c r="F69" s="5"/>
      <c r="G69" s="5"/>
      <c r="H69" s="5"/>
      <c r="I69" s="5"/>
      <c r="J69" s="5"/>
      <c r="K69" s="5"/>
    </row>
    <row r="70" spans="2:11" ht="36">
      <c r="B70" s="1460"/>
      <c r="C70" s="73"/>
      <c r="D70" s="36" t="s">
        <v>593</v>
      </c>
      <c r="E70" s="5"/>
      <c r="F70" s="5"/>
      <c r="G70" s="5"/>
      <c r="H70" s="5"/>
      <c r="I70" s="5"/>
      <c r="J70" s="5"/>
      <c r="K70" s="5"/>
    </row>
    <row r="71" spans="2:11" ht="15" thickBot="1">
      <c r="B71" s="1461"/>
      <c r="C71" s="2"/>
      <c r="D71" s="58"/>
      <c r="E71" s="5"/>
      <c r="F71" s="5"/>
      <c r="G71" s="5"/>
      <c r="H71" s="5"/>
      <c r="I71" s="5"/>
      <c r="J71" s="5"/>
      <c r="K71" s="5"/>
    </row>
    <row r="72" spans="2:11">
      <c r="B72" s="1459" t="s">
        <v>71</v>
      </c>
      <c r="C72" s="78"/>
      <c r="D72" s="1459"/>
      <c r="E72" s="5"/>
      <c r="F72" s="5"/>
      <c r="G72" s="5"/>
      <c r="H72" s="5"/>
      <c r="I72" s="5"/>
      <c r="J72" s="5"/>
      <c r="K72" s="5"/>
    </row>
    <row r="73" spans="2:11" ht="15" thickBot="1">
      <c r="B73" s="1461"/>
      <c r="C73" s="79"/>
      <c r="D73" s="1461"/>
      <c r="E73" s="5"/>
      <c r="F73" s="5"/>
      <c r="G73" s="5"/>
      <c r="H73" s="5"/>
      <c r="I73" s="5"/>
      <c r="J73" s="5"/>
      <c r="K73" s="5"/>
    </row>
    <row r="74" spans="2:11" ht="15" thickBot="1">
      <c r="B74" s="29"/>
      <c r="C74" s="67"/>
      <c r="D74" s="5"/>
      <c r="E74" s="5"/>
      <c r="F74" s="5"/>
      <c r="G74" s="5"/>
      <c r="H74" s="5"/>
      <c r="I74" s="5"/>
      <c r="J74" s="5"/>
      <c r="K74" s="5"/>
    </row>
    <row r="75" spans="2:11" ht="156">
      <c r="B75" s="1459" t="s">
        <v>72</v>
      </c>
      <c r="C75" s="84"/>
      <c r="D75" s="53" t="s">
        <v>594</v>
      </c>
      <c r="E75" s="5"/>
      <c r="F75" s="5"/>
      <c r="G75" s="5"/>
      <c r="H75" s="5"/>
      <c r="I75" s="5"/>
      <c r="J75" s="5"/>
      <c r="K75" s="5"/>
    </row>
    <row r="76" spans="2:11" ht="180">
      <c r="B76" s="1460"/>
      <c r="C76" s="73"/>
      <c r="D76" s="36" t="s">
        <v>595</v>
      </c>
      <c r="E76" s="5"/>
      <c r="F76" s="5"/>
      <c r="G76" s="5"/>
      <c r="H76" s="5"/>
      <c r="I76" s="5"/>
      <c r="J76" s="5"/>
      <c r="K76" s="5"/>
    </row>
    <row r="77" spans="2:11" ht="48">
      <c r="B77" s="1460"/>
      <c r="C77" s="73"/>
      <c r="D77" s="36" t="s">
        <v>596</v>
      </c>
      <c r="E77" s="5"/>
      <c r="F77" s="5"/>
      <c r="G77" s="5"/>
      <c r="H77" s="5"/>
      <c r="I77" s="5"/>
      <c r="J77" s="5"/>
      <c r="K77" s="5"/>
    </row>
    <row r="78" spans="2:11" ht="24">
      <c r="B78" s="1460"/>
      <c r="C78" s="73"/>
      <c r="D78" s="36" t="s">
        <v>597</v>
      </c>
      <c r="E78" s="5"/>
      <c r="F78" s="5"/>
      <c r="G78" s="5"/>
      <c r="H78" s="5"/>
      <c r="I78" s="5"/>
      <c r="J78" s="5"/>
      <c r="K78" s="5"/>
    </row>
    <row r="79" spans="2:11" ht="48">
      <c r="B79" s="1460"/>
      <c r="C79" s="73"/>
      <c r="D79" s="36" t="s">
        <v>598</v>
      </c>
      <c r="E79" s="5"/>
      <c r="F79" s="5"/>
      <c r="G79" s="5"/>
      <c r="H79" s="5"/>
      <c r="I79" s="5"/>
      <c r="J79" s="5"/>
      <c r="K79" s="5"/>
    </row>
    <row r="80" spans="2:11" ht="24">
      <c r="B80" s="1460"/>
      <c r="C80" s="73"/>
      <c r="D80" s="36" t="s">
        <v>599</v>
      </c>
      <c r="E80" s="5"/>
      <c r="F80" s="5"/>
      <c r="G80" s="5"/>
      <c r="H80" s="5"/>
      <c r="I80" s="5"/>
      <c r="J80" s="5"/>
      <c r="K80" s="5"/>
    </row>
    <row r="81" spans="2:11">
      <c r="B81" s="1460"/>
      <c r="C81" s="73"/>
      <c r="D81" s="36" t="s">
        <v>600</v>
      </c>
      <c r="E81" s="5"/>
      <c r="F81" s="5"/>
      <c r="G81" s="5"/>
      <c r="H81" s="5"/>
      <c r="I81" s="5"/>
      <c r="J81" s="5"/>
      <c r="K81" s="5"/>
    </row>
    <row r="82" spans="2:11" ht="24">
      <c r="B82" s="1460"/>
      <c r="C82" s="73"/>
      <c r="D82" s="36" t="s">
        <v>601</v>
      </c>
      <c r="E82" s="5"/>
      <c r="F82" s="5"/>
      <c r="G82" s="5"/>
      <c r="H82" s="5"/>
      <c r="I82" s="5"/>
      <c r="J82" s="5"/>
      <c r="K82" s="5"/>
    </row>
    <row r="83" spans="2:11" ht="24">
      <c r="B83" s="1460"/>
      <c r="C83" s="73"/>
      <c r="D83" s="36" t="s">
        <v>602</v>
      </c>
      <c r="E83" s="5"/>
      <c r="F83" s="5"/>
      <c r="G83" s="5"/>
      <c r="H83" s="5"/>
      <c r="I83" s="5"/>
      <c r="J83" s="5"/>
      <c r="K83" s="5"/>
    </row>
    <row r="84" spans="2:11" ht="24">
      <c r="B84" s="1460"/>
      <c r="C84" s="73"/>
      <c r="D84" s="36" t="s">
        <v>603</v>
      </c>
      <c r="E84" s="5"/>
      <c r="F84" s="5"/>
      <c r="G84" s="5"/>
      <c r="H84" s="5"/>
      <c r="I84" s="5"/>
      <c r="J84" s="5"/>
      <c r="K84" s="5"/>
    </row>
    <row r="85" spans="2:11" ht="24">
      <c r="B85" s="1460"/>
      <c r="C85" s="73"/>
      <c r="D85" s="36" t="s">
        <v>604</v>
      </c>
      <c r="E85" s="5"/>
      <c r="F85" s="5"/>
      <c r="G85" s="5"/>
      <c r="H85" s="5"/>
      <c r="I85" s="5"/>
      <c r="J85" s="5"/>
      <c r="K85" s="5"/>
    </row>
    <row r="86" spans="2:11" ht="36">
      <c r="B86" s="1460"/>
      <c r="C86" s="73"/>
      <c r="D86" s="36" t="s">
        <v>605</v>
      </c>
      <c r="E86" s="5"/>
      <c r="F86" s="5"/>
      <c r="G86" s="5"/>
      <c r="H86" s="5"/>
      <c r="I86" s="5"/>
      <c r="J86" s="5"/>
      <c r="K86" s="5"/>
    </row>
    <row r="87" spans="2:11" ht="24">
      <c r="B87" s="1460"/>
      <c r="C87" s="73"/>
      <c r="D87" s="36" t="s">
        <v>606</v>
      </c>
      <c r="E87" s="5"/>
      <c r="F87" s="5"/>
      <c r="G87" s="5"/>
      <c r="H87" s="5"/>
      <c r="I87" s="5"/>
      <c r="J87" s="5"/>
      <c r="K87" s="5"/>
    </row>
    <row r="88" spans="2:11" ht="48.6" thickBot="1">
      <c r="B88" s="1461"/>
      <c r="C88" s="2"/>
      <c r="D88" s="32" t="s">
        <v>607</v>
      </c>
      <c r="E88" s="5"/>
      <c r="F88" s="5"/>
      <c r="G88" s="5"/>
      <c r="H88" s="5"/>
      <c r="I88" s="5"/>
      <c r="J88" s="5"/>
      <c r="K88" s="5"/>
    </row>
    <row r="89" spans="2:11" ht="36">
      <c r="B89" s="1459" t="s">
        <v>89</v>
      </c>
      <c r="C89" s="73"/>
      <c r="D89" s="43" t="s">
        <v>608</v>
      </c>
      <c r="E89" s="5"/>
      <c r="F89" s="5"/>
      <c r="G89" s="5"/>
      <c r="H89" s="5"/>
      <c r="I89" s="5"/>
      <c r="J89" s="5"/>
      <c r="K89" s="5"/>
    </row>
    <row r="90" spans="2:11" ht="36">
      <c r="B90" s="1460"/>
      <c r="C90" s="73"/>
      <c r="D90" s="36" t="s">
        <v>609</v>
      </c>
      <c r="E90" s="5"/>
      <c r="F90" s="5"/>
      <c r="G90" s="5"/>
      <c r="H90" s="5"/>
      <c r="I90" s="5"/>
      <c r="J90" s="5"/>
      <c r="K90" s="5"/>
    </row>
    <row r="91" spans="2:11">
      <c r="B91" s="1460"/>
      <c r="C91" s="73"/>
      <c r="D91" s="13"/>
      <c r="E91" s="5"/>
      <c r="F91" s="5"/>
      <c r="G91" s="5"/>
      <c r="H91" s="5"/>
      <c r="I91" s="5"/>
      <c r="J91" s="5"/>
      <c r="K91" s="5"/>
    </row>
    <row r="92" spans="2:11">
      <c r="B92" s="1460"/>
      <c r="C92" s="73"/>
      <c r="D92" s="36" t="s">
        <v>90</v>
      </c>
      <c r="E92" s="5"/>
      <c r="F92" s="5"/>
      <c r="G92" s="5"/>
      <c r="H92" s="5"/>
      <c r="I92" s="5"/>
      <c r="J92" s="5"/>
      <c r="K92" s="5"/>
    </row>
    <row r="93" spans="2:11" ht="38.4">
      <c r="B93" s="1460"/>
      <c r="C93" s="73"/>
      <c r="D93" s="36" t="s">
        <v>610</v>
      </c>
      <c r="E93" s="5"/>
      <c r="F93" s="5"/>
      <c r="G93" s="5"/>
      <c r="H93" s="5"/>
      <c r="I93" s="5"/>
      <c r="J93" s="5"/>
      <c r="K93" s="5"/>
    </row>
    <row r="94" spans="2:11" ht="38.4">
      <c r="B94" s="1460"/>
      <c r="C94" s="73"/>
      <c r="D94" s="36" t="s">
        <v>611</v>
      </c>
      <c r="E94" s="5"/>
      <c r="F94" s="5"/>
      <c r="G94" s="5"/>
      <c r="H94" s="5"/>
      <c r="I94" s="5"/>
      <c r="J94" s="5"/>
      <c r="K94" s="5"/>
    </row>
    <row r="95" spans="2:11" ht="26.4">
      <c r="B95" s="1460"/>
      <c r="C95" s="73"/>
      <c r="D95" s="36" t="s">
        <v>612</v>
      </c>
      <c r="E95" s="5"/>
      <c r="F95" s="5"/>
      <c r="G95" s="5"/>
      <c r="H95" s="5"/>
      <c r="I95" s="5"/>
      <c r="J95" s="5"/>
      <c r="K95" s="5"/>
    </row>
    <row r="96" spans="2:11">
      <c r="B96" s="1460"/>
      <c r="C96" s="73"/>
      <c r="D96" s="36" t="s">
        <v>613</v>
      </c>
      <c r="E96" s="5"/>
      <c r="F96" s="5"/>
      <c r="G96" s="5"/>
      <c r="H96" s="5"/>
      <c r="I96" s="5"/>
      <c r="J96" s="5"/>
      <c r="K96" s="5"/>
    </row>
    <row r="97" spans="2:11" ht="36.6" thickBot="1">
      <c r="B97" s="1461"/>
      <c r="C97" s="2"/>
      <c r="D97" s="60" t="s">
        <v>614</v>
      </c>
      <c r="E97" s="5"/>
      <c r="F97" s="5"/>
      <c r="G97" s="5"/>
      <c r="H97" s="5"/>
      <c r="I97" s="5"/>
      <c r="J97" s="5"/>
      <c r="K97" s="5"/>
    </row>
    <row r="98" spans="2:11">
      <c r="B98" s="5"/>
      <c r="D98" s="5"/>
      <c r="E98" s="5"/>
      <c r="F98" s="5"/>
      <c r="G98" s="5"/>
      <c r="H98" s="5"/>
      <c r="I98" s="5"/>
      <c r="J98" s="5"/>
      <c r="K98" s="5"/>
    </row>
    <row r="99" spans="2:11">
      <c r="B99" s="5"/>
      <c r="D99" s="5"/>
      <c r="E99" s="5"/>
      <c r="F99" s="5"/>
      <c r="G99" s="5"/>
      <c r="H99" s="5"/>
      <c r="I99" s="5"/>
      <c r="J99" s="5"/>
      <c r="K99" s="5"/>
    </row>
    <row r="100" spans="2:11">
      <c r="B100" s="5"/>
      <c r="D100" s="5"/>
      <c r="E100" s="5"/>
      <c r="F100" s="5"/>
      <c r="G100" s="5"/>
      <c r="H100" s="5"/>
      <c r="I100" s="5"/>
      <c r="J100" s="5"/>
      <c r="K100" s="5"/>
    </row>
    <row r="101" spans="2:11">
      <c r="B101" s="5"/>
      <c r="D101" s="5"/>
      <c r="E101" s="5"/>
      <c r="F101" s="5"/>
      <c r="G101" s="5"/>
      <c r="H101" s="5"/>
      <c r="I101" s="5"/>
      <c r="J101" s="5"/>
      <c r="K101" s="5"/>
    </row>
    <row r="102" spans="2:11">
      <c r="B102" s="5"/>
      <c r="D102" s="5"/>
      <c r="E102" s="5"/>
      <c r="F102" s="5"/>
      <c r="G102" s="5"/>
      <c r="H102" s="5"/>
      <c r="I102" s="5"/>
      <c r="J102" s="5"/>
      <c r="K102" s="5"/>
    </row>
    <row r="103" spans="2:11">
      <c r="B103" s="5"/>
      <c r="D103" s="5"/>
      <c r="E103" s="5"/>
      <c r="F103" s="5"/>
      <c r="G103" s="5"/>
      <c r="H103" s="5"/>
      <c r="I103" s="5"/>
      <c r="J103" s="5"/>
      <c r="K103" s="5"/>
    </row>
    <row r="104" spans="2:11">
      <c r="B104" s="5"/>
      <c r="D104" s="5"/>
      <c r="E104" s="5"/>
      <c r="F104" s="5"/>
      <c r="G104" s="5"/>
      <c r="H104" s="5"/>
      <c r="I104" s="5"/>
      <c r="J104" s="5"/>
      <c r="K104" s="5"/>
    </row>
    <row r="105" spans="2:11">
      <c r="B105" s="5"/>
      <c r="D105" s="5"/>
      <c r="E105" s="5"/>
      <c r="F105" s="5"/>
      <c r="G105" s="5"/>
      <c r="H105" s="5"/>
      <c r="I105" s="5"/>
      <c r="J105" s="5"/>
      <c r="K105" s="5"/>
    </row>
    <row r="106" spans="2:11">
      <c r="B106" s="5"/>
      <c r="D106" s="5"/>
      <c r="E106" s="5"/>
      <c r="F106" s="5"/>
      <c r="G106" s="5"/>
      <c r="H106" s="5"/>
      <c r="I106" s="5"/>
      <c r="J106" s="5"/>
      <c r="K106" s="5"/>
    </row>
    <row r="107" spans="2:11">
      <c r="B107" s="5"/>
      <c r="D107" s="5"/>
      <c r="E107" s="5"/>
      <c r="F107" s="5"/>
      <c r="G107" s="5"/>
      <c r="H107" s="5"/>
      <c r="I107" s="5"/>
      <c r="J107" s="5"/>
      <c r="K107" s="5"/>
    </row>
    <row r="108" spans="2:11">
      <c r="B108" s="5"/>
      <c r="D108" s="5"/>
      <c r="E108" s="5"/>
      <c r="F108" s="5"/>
      <c r="G108" s="5"/>
      <c r="H108" s="5"/>
      <c r="I108" s="5"/>
      <c r="J108" s="5"/>
      <c r="K108" s="5"/>
    </row>
    <row r="109" spans="2:11">
      <c r="B109" s="5"/>
      <c r="D109" s="5"/>
      <c r="E109" s="5"/>
      <c r="F109" s="5"/>
      <c r="G109" s="5"/>
      <c r="H109" s="5"/>
      <c r="I109" s="5"/>
      <c r="J109" s="5"/>
      <c r="K109" s="5"/>
    </row>
    <row r="110" spans="2:11">
      <c r="B110" s="5"/>
      <c r="D110" s="5"/>
      <c r="E110" s="5"/>
      <c r="F110" s="5"/>
      <c r="G110" s="5"/>
      <c r="H110" s="5"/>
      <c r="I110" s="5"/>
      <c r="J110" s="5"/>
      <c r="K110" s="5"/>
    </row>
    <row r="111" spans="2:11">
      <c r="B111" s="5"/>
      <c r="D111" s="5"/>
      <c r="E111" s="5"/>
      <c r="F111" s="5"/>
      <c r="G111" s="5"/>
      <c r="H111" s="5"/>
      <c r="I111" s="5"/>
      <c r="J111" s="5"/>
      <c r="K111" s="5"/>
    </row>
    <row r="112" spans="2:11">
      <c r="B112" s="5"/>
      <c r="D112" s="5"/>
      <c r="E112" s="5"/>
      <c r="F112" s="5"/>
      <c r="G112" s="5"/>
      <c r="H112" s="5"/>
      <c r="I112" s="5"/>
      <c r="J112" s="5"/>
      <c r="K112" s="5"/>
    </row>
    <row r="113" spans="2:11">
      <c r="B113" s="5"/>
      <c r="D113" s="5"/>
      <c r="E113" s="5"/>
      <c r="F113" s="5"/>
      <c r="G113" s="5"/>
      <c r="H113" s="5"/>
      <c r="I113" s="5"/>
      <c r="J113" s="5"/>
      <c r="K113" s="5"/>
    </row>
    <row r="114" spans="2:11">
      <c r="B114" s="5"/>
      <c r="D114" s="5"/>
      <c r="E114" s="5"/>
      <c r="F114" s="5"/>
      <c r="G114" s="5"/>
      <c r="H114" s="5"/>
      <c r="I114" s="5"/>
      <c r="J114" s="5"/>
      <c r="K114" s="5"/>
    </row>
    <row r="115" spans="2:11">
      <c r="B115" s="5"/>
      <c r="D115" s="5"/>
      <c r="E115" s="5"/>
      <c r="F115" s="5"/>
      <c r="G115" s="5"/>
      <c r="H115" s="5"/>
      <c r="I115" s="5"/>
      <c r="J115" s="5"/>
      <c r="K115" s="5"/>
    </row>
    <row r="116" spans="2:11">
      <c r="B116" s="5"/>
      <c r="D116" s="5"/>
      <c r="E116" s="5"/>
      <c r="F116" s="5"/>
      <c r="G116" s="5"/>
      <c r="H116" s="5"/>
      <c r="I116" s="5"/>
      <c r="J116" s="5"/>
      <c r="K116" s="5"/>
    </row>
    <row r="117" spans="2:11">
      <c r="B117" s="5"/>
      <c r="D117" s="5"/>
      <c r="E117" s="5"/>
      <c r="F117" s="5"/>
      <c r="G117" s="5"/>
      <c r="H117" s="5"/>
      <c r="I117" s="5"/>
      <c r="J117" s="5"/>
      <c r="K117" s="5"/>
    </row>
    <row r="118" spans="2:11">
      <c r="B118" s="5"/>
      <c r="D118" s="5"/>
      <c r="E118" s="5"/>
      <c r="F118" s="5"/>
      <c r="G118" s="5"/>
      <c r="H118" s="5"/>
      <c r="I118" s="5"/>
      <c r="J118" s="5"/>
      <c r="K118" s="5"/>
    </row>
    <row r="119" spans="2:11">
      <c r="B119" s="5"/>
      <c r="D119" s="5"/>
      <c r="E119" s="5"/>
      <c r="F119" s="5"/>
      <c r="G119" s="5"/>
      <c r="H119" s="5"/>
      <c r="I119" s="5"/>
      <c r="J119" s="5"/>
      <c r="K119" s="5"/>
    </row>
    <row r="120" spans="2:11">
      <c r="B120" s="5"/>
      <c r="D120" s="5"/>
      <c r="E120" s="5"/>
      <c r="F120" s="5"/>
      <c r="G120" s="5"/>
      <c r="H120" s="5"/>
      <c r="I120" s="5"/>
      <c r="J120" s="5"/>
      <c r="K120" s="5"/>
    </row>
    <row r="121" spans="2:11">
      <c r="B121" s="5"/>
      <c r="D121" s="5"/>
      <c r="E121" s="5"/>
      <c r="F121" s="5"/>
      <c r="G121" s="5"/>
      <c r="H121" s="5"/>
      <c r="I121" s="5"/>
      <c r="J121" s="5"/>
      <c r="K121" s="5"/>
    </row>
    <row r="122" spans="2:11">
      <c r="B122" s="5"/>
      <c r="D122" s="5"/>
      <c r="E122" s="5"/>
      <c r="F122" s="5"/>
      <c r="G122" s="5"/>
      <c r="H122" s="5"/>
      <c r="I122" s="5"/>
      <c r="J122" s="5"/>
      <c r="K122" s="5"/>
    </row>
    <row r="123" spans="2:11">
      <c r="B123" s="5"/>
      <c r="D123" s="5"/>
      <c r="E123" s="5"/>
      <c r="F123" s="5"/>
      <c r="G123" s="5"/>
      <c r="H123" s="5"/>
      <c r="I123" s="5"/>
      <c r="J123" s="5"/>
      <c r="K123" s="5"/>
    </row>
    <row r="124" spans="2:11">
      <c r="B124" s="5"/>
      <c r="D124" s="5"/>
      <c r="E124" s="5"/>
      <c r="F124" s="5"/>
      <c r="G124" s="5"/>
      <c r="H124" s="5"/>
      <c r="I124" s="5"/>
      <c r="J124" s="5"/>
      <c r="K124" s="5"/>
    </row>
    <row r="125" spans="2:11">
      <c r="B125" s="5"/>
      <c r="D125" s="5"/>
      <c r="E125" s="5"/>
      <c r="F125" s="5"/>
      <c r="G125" s="5"/>
      <c r="H125" s="5"/>
      <c r="I125" s="5"/>
      <c r="J125" s="5"/>
      <c r="K125" s="5"/>
    </row>
    <row r="126" spans="2:11">
      <c r="B126" s="5"/>
      <c r="D126" s="5"/>
      <c r="E126" s="5"/>
      <c r="F126" s="5"/>
      <c r="G126" s="5"/>
      <c r="H126" s="5"/>
      <c r="I126" s="5"/>
      <c r="J126" s="5"/>
      <c r="K126" s="5"/>
    </row>
    <row r="127" spans="2:11">
      <c r="B127" s="5"/>
      <c r="D127" s="5"/>
      <c r="E127" s="5"/>
      <c r="F127" s="5"/>
      <c r="G127" s="5"/>
      <c r="H127" s="5"/>
      <c r="I127" s="5"/>
      <c r="J127" s="5"/>
      <c r="K127" s="5"/>
    </row>
    <row r="128" spans="2:11">
      <c r="B128" s="5"/>
      <c r="D128" s="5"/>
      <c r="E128" s="5"/>
      <c r="F128" s="5"/>
      <c r="G128" s="5"/>
      <c r="H128" s="5"/>
      <c r="I128" s="5"/>
      <c r="J128" s="5"/>
      <c r="K128" s="5"/>
    </row>
    <row r="129" spans="2:11">
      <c r="B129" s="5"/>
      <c r="D129" s="5"/>
      <c r="E129" s="5"/>
      <c r="F129" s="5"/>
      <c r="G129" s="5"/>
      <c r="H129" s="5"/>
      <c r="I129" s="5"/>
      <c r="J129" s="5"/>
      <c r="K129" s="5"/>
    </row>
    <row r="130" spans="2:11">
      <c r="B130" s="5"/>
      <c r="D130" s="5"/>
      <c r="E130" s="5"/>
      <c r="F130" s="5"/>
      <c r="G130" s="5"/>
      <c r="H130" s="5"/>
      <c r="I130" s="5"/>
      <c r="J130" s="5"/>
      <c r="K130" s="5"/>
    </row>
    <row r="131" spans="2:11">
      <c r="B131" s="5"/>
      <c r="D131" s="5"/>
      <c r="E131" s="5"/>
      <c r="F131" s="5"/>
      <c r="G131" s="5"/>
      <c r="H131" s="5"/>
      <c r="I131" s="5"/>
      <c r="J131" s="5"/>
      <c r="K131" s="5"/>
    </row>
    <row r="132" spans="2:11">
      <c r="B132" s="5"/>
      <c r="D132" s="5"/>
      <c r="E132" s="5"/>
      <c r="F132" s="5"/>
      <c r="G132" s="5"/>
      <c r="H132" s="5"/>
      <c r="I132" s="5"/>
      <c r="J132" s="5"/>
      <c r="K132" s="5"/>
    </row>
    <row r="133" spans="2:11">
      <c r="B133" s="5"/>
      <c r="D133" s="5"/>
      <c r="E133" s="5"/>
      <c r="F133" s="5"/>
      <c r="G133" s="5"/>
      <c r="H133" s="5"/>
      <c r="I133" s="5"/>
      <c r="J133" s="5"/>
      <c r="K133" s="5"/>
    </row>
    <row r="134" spans="2:11">
      <c r="B134" s="5"/>
      <c r="D134" s="5"/>
      <c r="E134" s="5"/>
      <c r="F134" s="5"/>
      <c r="G134" s="5"/>
      <c r="H134" s="5"/>
      <c r="I134" s="5"/>
      <c r="J134" s="5"/>
      <c r="K134" s="5"/>
    </row>
    <row r="135" spans="2:11">
      <c r="B135" s="5"/>
      <c r="D135" s="5"/>
      <c r="E135" s="5"/>
      <c r="F135" s="5"/>
      <c r="G135" s="5"/>
      <c r="H135" s="5"/>
      <c r="I135" s="5"/>
      <c r="J135" s="5"/>
      <c r="K135" s="5"/>
    </row>
    <row r="136" spans="2:11">
      <c r="B136" s="5"/>
      <c r="D136" s="5"/>
      <c r="E136" s="5"/>
      <c r="F136" s="5"/>
      <c r="G136" s="5"/>
      <c r="H136" s="5"/>
      <c r="I136" s="5"/>
      <c r="J136" s="5"/>
      <c r="K136" s="5"/>
    </row>
    <row r="137" spans="2:11">
      <c r="B137" s="5"/>
      <c r="D137" s="5"/>
      <c r="E137" s="5"/>
      <c r="F137" s="5"/>
      <c r="G137" s="5"/>
      <c r="H137" s="5"/>
      <c r="I137" s="5"/>
      <c r="J137" s="5"/>
      <c r="K137" s="5"/>
    </row>
    <row r="138" spans="2:11">
      <c r="B138" s="5"/>
      <c r="D138" s="5"/>
      <c r="E138" s="5"/>
      <c r="F138" s="5"/>
      <c r="G138" s="5"/>
      <c r="H138" s="5"/>
      <c r="I138" s="5"/>
      <c r="J138" s="5"/>
      <c r="K138" s="5"/>
    </row>
    <row r="139" spans="2:11">
      <c r="B139" s="5"/>
      <c r="D139" s="5"/>
      <c r="E139" s="5"/>
      <c r="F139" s="5"/>
      <c r="G139" s="5"/>
      <c r="H139" s="5"/>
      <c r="I139" s="5"/>
      <c r="J139" s="5"/>
      <c r="K139" s="5"/>
    </row>
    <row r="140" spans="2:11">
      <c r="B140" s="5"/>
      <c r="D140" s="5"/>
      <c r="E140" s="5"/>
      <c r="F140" s="5"/>
      <c r="G140" s="5"/>
      <c r="H140" s="5"/>
      <c r="I140" s="5"/>
      <c r="J140" s="5"/>
      <c r="K140" s="5"/>
    </row>
    <row r="141" spans="2:11">
      <c r="B141" s="5"/>
      <c r="D141" s="5"/>
      <c r="E141" s="5"/>
      <c r="F141" s="5"/>
      <c r="G141" s="5"/>
      <c r="H141" s="5"/>
      <c r="I141" s="5"/>
      <c r="J141" s="5"/>
      <c r="K141" s="5"/>
    </row>
    <row r="142" spans="2:11">
      <c r="B142" s="5"/>
      <c r="D142" s="5"/>
      <c r="E142" s="5"/>
      <c r="F142" s="5"/>
      <c r="G142" s="5"/>
      <c r="H142" s="5"/>
      <c r="I142" s="5"/>
      <c r="J142" s="5"/>
      <c r="K142" s="5"/>
    </row>
    <row r="143" spans="2:11">
      <c r="B143" s="5"/>
      <c r="D143" s="5"/>
      <c r="E143" s="5"/>
      <c r="F143" s="5"/>
      <c r="G143" s="5"/>
      <c r="H143" s="5"/>
      <c r="I143" s="5"/>
      <c r="J143" s="5"/>
      <c r="K143" s="5"/>
    </row>
    <row r="144" spans="2:11">
      <c r="B144" s="5"/>
      <c r="D144" s="5"/>
      <c r="E144" s="5"/>
      <c r="F144" s="5"/>
      <c r="G144" s="5"/>
      <c r="H144" s="5"/>
      <c r="I144" s="5"/>
      <c r="J144" s="5"/>
      <c r="K144" s="5"/>
    </row>
    <row r="145" spans="2:11">
      <c r="B145" s="5"/>
      <c r="D145" s="5"/>
      <c r="E145" s="5"/>
      <c r="F145" s="5"/>
      <c r="G145" s="5"/>
      <c r="H145" s="5"/>
      <c r="I145" s="5"/>
      <c r="J145" s="5"/>
      <c r="K145" s="5"/>
    </row>
    <row r="146" spans="2:11">
      <c r="B146" s="5"/>
      <c r="D146" s="5"/>
      <c r="E146" s="5"/>
      <c r="F146" s="5"/>
      <c r="G146" s="5"/>
      <c r="H146" s="5"/>
      <c r="I146" s="5"/>
      <c r="J146" s="5"/>
      <c r="K146" s="5"/>
    </row>
    <row r="147" spans="2:11">
      <c r="B147" s="5"/>
      <c r="D147" s="5"/>
      <c r="E147" s="5"/>
      <c r="F147" s="5"/>
      <c r="G147" s="5"/>
      <c r="H147" s="5"/>
      <c r="I147" s="5"/>
      <c r="J147" s="5"/>
      <c r="K147" s="5"/>
    </row>
    <row r="148" spans="2:11">
      <c r="B148" s="5"/>
      <c r="D148" s="5"/>
      <c r="E148" s="5"/>
      <c r="F148" s="5"/>
      <c r="G148" s="5"/>
      <c r="H148" s="5"/>
      <c r="I148" s="5"/>
      <c r="J148" s="5"/>
      <c r="K148" s="5"/>
    </row>
    <row r="149" spans="2:11">
      <c r="B149" s="5"/>
      <c r="D149" s="5"/>
      <c r="E149" s="5"/>
      <c r="F149" s="5"/>
      <c r="G149" s="5"/>
      <c r="H149" s="5"/>
      <c r="I149" s="5"/>
      <c r="J149" s="5"/>
      <c r="K149" s="5"/>
    </row>
    <row r="150" spans="2:11">
      <c r="B150" s="5"/>
      <c r="D150" s="5"/>
      <c r="E150" s="5"/>
      <c r="F150" s="5"/>
      <c r="G150" s="5"/>
      <c r="H150" s="5"/>
      <c r="I150" s="5"/>
      <c r="J150" s="5"/>
      <c r="K150" s="5"/>
    </row>
    <row r="151" spans="2:11">
      <c r="B151" s="5"/>
      <c r="D151" s="5"/>
      <c r="E151" s="5"/>
      <c r="F151" s="5"/>
      <c r="G151" s="5"/>
      <c r="H151" s="5"/>
      <c r="I151" s="5"/>
      <c r="J151" s="5"/>
      <c r="K151" s="5"/>
    </row>
    <row r="152" spans="2:11">
      <c r="B152" s="5"/>
      <c r="D152" s="5"/>
      <c r="E152" s="5"/>
      <c r="F152" s="5"/>
      <c r="G152" s="5"/>
      <c r="H152" s="5"/>
      <c r="I152" s="5"/>
      <c r="J152" s="5"/>
      <c r="K152" s="5"/>
    </row>
    <row r="153" spans="2:11">
      <c r="B153" s="5"/>
      <c r="D153" s="5"/>
      <c r="E153" s="5"/>
      <c r="F153" s="5"/>
      <c r="G153" s="5"/>
      <c r="H153" s="5"/>
      <c r="I153" s="5"/>
      <c r="J153" s="5"/>
      <c r="K153" s="5"/>
    </row>
    <row r="154" spans="2:11">
      <c r="B154" s="5"/>
      <c r="D154" s="5"/>
      <c r="E154" s="5"/>
      <c r="F154" s="5"/>
      <c r="G154" s="5"/>
      <c r="H154" s="5"/>
      <c r="I154" s="5"/>
      <c r="J154" s="5"/>
      <c r="K154" s="5"/>
    </row>
    <row r="155" spans="2:11">
      <c r="B155" s="5"/>
      <c r="D155" s="5"/>
      <c r="E155" s="5"/>
      <c r="F155" s="5"/>
      <c r="G155" s="5"/>
      <c r="H155" s="5"/>
      <c r="I155" s="5"/>
      <c r="J155" s="5"/>
      <c r="K155" s="5"/>
    </row>
    <row r="156" spans="2:11">
      <c r="B156" s="5"/>
      <c r="D156" s="5"/>
      <c r="E156" s="5"/>
      <c r="F156" s="5"/>
      <c r="G156" s="5"/>
      <c r="H156" s="5"/>
      <c r="I156" s="5"/>
      <c r="J156" s="5"/>
      <c r="K156" s="5"/>
    </row>
    <row r="157" spans="2:11">
      <c r="B157" s="5"/>
      <c r="D157" s="5"/>
      <c r="E157" s="5"/>
      <c r="F157" s="5"/>
      <c r="G157" s="5"/>
      <c r="H157" s="5"/>
      <c r="I157" s="5"/>
      <c r="J157" s="5"/>
      <c r="K157" s="5"/>
    </row>
    <row r="158" spans="2:11">
      <c r="B158" s="5"/>
      <c r="D158" s="5"/>
      <c r="E158" s="5"/>
      <c r="F158" s="5"/>
      <c r="G158" s="5"/>
      <c r="H158" s="5"/>
      <c r="I158" s="5"/>
      <c r="J158" s="5"/>
      <c r="K158" s="5"/>
    </row>
    <row r="159" spans="2:11">
      <c r="B159" s="5"/>
      <c r="D159" s="5"/>
      <c r="E159" s="5"/>
      <c r="F159" s="5"/>
      <c r="G159" s="5"/>
      <c r="H159" s="5"/>
      <c r="I159" s="5"/>
      <c r="J159" s="5"/>
      <c r="K159" s="5"/>
    </row>
    <row r="160" spans="2:11">
      <c r="B160" s="5"/>
      <c r="D160" s="5"/>
      <c r="E160" s="5"/>
      <c r="F160" s="5"/>
      <c r="G160" s="5"/>
      <c r="H160" s="5"/>
      <c r="I160" s="5"/>
      <c r="J160" s="5"/>
      <c r="K160" s="5"/>
    </row>
    <row r="161" spans="2:11">
      <c r="B161" s="5"/>
      <c r="D161" s="5"/>
      <c r="E161" s="5"/>
      <c r="F161" s="5"/>
      <c r="G161" s="5"/>
      <c r="H161" s="5"/>
      <c r="I161" s="5"/>
      <c r="J161" s="5"/>
      <c r="K161" s="5"/>
    </row>
    <row r="162" spans="2:11">
      <c r="B162" s="5"/>
      <c r="D162" s="5"/>
      <c r="E162" s="5"/>
      <c r="F162" s="5"/>
      <c r="G162" s="5"/>
      <c r="H162" s="5"/>
      <c r="I162" s="5"/>
      <c r="J162" s="5"/>
      <c r="K162" s="5"/>
    </row>
    <row r="163" spans="2:11">
      <c r="B163" s="5"/>
      <c r="D163" s="5"/>
      <c r="E163" s="5"/>
      <c r="F163" s="5"/>
      <c r="G163" s="5"/>
      <c r="H163" s="5"/>
      <c r="I163" s="5"/>
      <c r="J163" s="5"/>
      <c r="K163" s="5"/>
    </row>
    <row r="164" spans="2:11">
      <c r="B164" s="5"/>
      <c r="D164" s="5"/>
      <c r="E164" s="5"/>
      <c r="F164" s="5"/>
      <c r="G164" s="5"/>
      <c r="H164" s="5"/>
      <c r="I164" s="5"/>
      <c r="J164" s="5"/>
      <c r="K164" s="5"/>
    </row>
    <row r="165" spans="2:11">
      <c r="B165" s="5"/>
      <c r="D165" s="5"/>
      <c r="E165" s="5"/>
      <c r="F165" s="5"/>
      <c r="G165" s="5"/>
      <c r="H165" s="5"/>
      <c r="I165" s="5"/>
      <c r="J165" s="5"/>
      <c r="K165" s="5"/>
    </row>
    <row r="166" spans="2:11">
      <c r="B166" s="5"/>
      <c r="D166" s="5"/>
      <c r="E166" s="5"/>
      <c r="F166" s="5"/>
      <c r="G166" s="5"/>
      <c r="H166" s="5"/>
      <c r="I166" s="5"/>
      <c r="J166" s="5"/>
      <c r="K166" s="5"/>
    </row>
    <row r="167" spans="2:11">
      <c r="B167" s="5"/>
      <c r="D167" s="5"/>
      <c r="E167" s="5"/>
      <c r="F167" s="5"/>
      <c r="G167" s="5"/>
      <c r="H167" s="5"/>
      <c r="I167" s="5"/>
      <c r="J167" s="5"/>
      <c r="K167" s="5"/>
    </row>
    <row r="168" spans="2:11">
      <c r="B168" s="5"/>
      <c r="D168" s="5"/>
      <c r="E168" s="5"/>
      <c r="F168" s="5"/>
      <c r="G168" s="5"/>
      <c r="H168" s="5"/>
      <c r="I168" s="5"/>
      <c r="J168" s="5"/>
      <c r="K168" s="5"/>
    </row>
    <row r="169" spans="2:11">
      <c r="B169" s="5"/>
      <c r="D169" s="5"/>
      <c r="E169" s="5"/>
      <c r="F169" s="5"/>
      <c r="G169" s="5"/>
      <c r="H169" s="5"/>
      <c r="I169" s="5"/>
      <c r="J169" s="5"/>
      <c r="K169" s="5"/>
    </row>
    <row r="170" spans="2:11">
      <c r="B170" s="5"/>
      <c r="D170" s="5"/>
      <c r="E170" s="5"/>
      <c r="F170" s="5"/>
      <c r="G170" s="5"/>
      <c r="H170" s="5"/>
      <c r="I170" s="5"/>
      <c r="J170" s="5"/>
      <c r="K170" s="5"/>
    </row>
    <row r="171" spans="2:11">
      <c r="B171" s="5"/>
      <c r="D171" s="5"/>
      <c r="E171" s="5"/>
      <c r="F171" s="5"/>
      <c r="G171" s="5"/>
      <c r="H171" s="5"/>
      <c r="I171" s="5"/>
      <c r="J171" s="5"/>
      <c r="K171" s="5"/>
    </row>
    <row r="172" spans="2:11">
      <c r="B172" s="5"/>
      <c r="D172" s="5"/>
      <c r="E172" s="5"/>
      <c r="F172" s="5"/>
      <c r="G172" s="5"/>
      <c r="H172" s="5"/>
      <c r="I172" s="5"/>
      <c r="J172" s="5"/>
      <c r="K172" s="5"/>
    </row>
    <row r="173" spans="2:11">
      <c r="B173" s="5"/>
      <c r="D173" s="5"/>
      <c r="E173" s="5"/>
      <c r="F173" s="5"/>
      <c r="G173" s="5"/>
      <c r="H173" s="5"/>
      <c r="I173" s="5"/>
      <c r="J173" s="5"/>
      <c r="K173" s="5"/>
    </row>
    <row r="174" spans="2:11">
      <c r="B174" s="5"/>
      <c r="D174" s="5"/>
      <c r="E174" s="5"/>
      <c r="F174" s="5"/>
      <c r="G174" s="5"/>
      <c r="H174" s="5"/>
      <c r="I174" s="5"/>
      <c r="J174" s="5"/>
      <c r="K174" s="5"/>
    </row>
    <row r="175" spans="2:11">
      <c r="B175" s="5"/>
      <c r="D175" s="5"/>
      <c r="E175" s="5"/>
      <c r="F175" s="5"/>
      <c r="G175" s="5"/>
      <c r="H175" s="5"/>
      <c r="I175" s="5"/>
      <c r="J175" s="5"/>
      <c r="K175" s="5"/>
    </row>
  </sheetData>
  <mergeCells count="32">
    <mergeCell ref="B10:D10"/>
    <mergeCell ref="F10:S10"/>
    <mergeCell ref="F11:S11"/>
    <mergeCell ref="E12:R12"/>
    <mergeCell ref="E13:R13"/>
    <mergeCell ref="B75:B88"/>
    <mergeCell ref="B89:B97"/>
    <mergeCell ref="B58:D58"/>
    <mergeCell ref="B60:B71"/>
    <mergeCell ref="B72:B73"/>
    <mergeCell ref="D72:D73"/>
    <mergeCell ref="B15:B19"/>
    <mergeCell ref="B42:B48"/>
    <mergeCell ref="B55:E56"/>
    <mergeCell ref="D15:K15"/>
    <mergeCell ref="D16:K16"/>
    <mergeCell ref="D19:K19"/>
    <mergeCell ref="D28:K28"/>
    <mergeCell ref="C20:C21"/>
    <mergeCell ref="D20:D21"/>
    <mergeCell ref="E20:E21"/>
    <mergeCell ref="F20:J20"/>
    <mergeCell ref="D29:K29"/>
    <mergeCell ref="D30:K30"/>
    <mergeCell ref="B32:E32"/>
    <mergeCell ref="B33:B39"/>
    <mergeCell ref="B41:E41"/>
    <mergeCell ref="A1:P1"/>
    <mergeCell ref="A2:P2"/>
    <mergeCell ref="A3:P3"/>
    <mergeCell ref="A4:D4"/>
    <mergeCell ref="A5:P5"/>
  </mergeCells>
  <conditionalFormatting sqref="E12:R12">
    <cfRule type="expression" dxfId="61" priority="1">
      <formula>E11="SI SE REPORTA"</formula>
    </cfRule>
  </conditionalFormatting>
  <conditionalFormatting sqref="F10">
    <cfRule type="notContainsBlanks" dxfId="60" priority="4">
      <formula>LEN(TRIM(F10))&gt;0</formula>
    </cfRule>
  </conditionalFormatting>
  <conditionalFormatting sqref="F11:S11">
    <cfRule type="expression" dxfId="59" priority="2">
      <formula>E11="NO SE REPORTA"</formula>
    </cfRule>
    <cfRule type="expression" dxfId="58" priority="3">
      <formula>E10="NO APLICA"</formula>
    </cfRule>
  </conditionalFormatting>
  <conditionalFormatting sqref="H27">
    <cfRule type="containsText" dxfId="57" priority="5" operator="containsText" text="ERROR">
      <formula>NOT(ISERROR(SEARCH("ERROR",H27)))</formula>
    </cfRule>
  </conditionalFormatting>
  <dataValidations count="5">
    <dataValidation type="whole" operator="greaterThanOrEqual" allowBlank="1" showErrorMessage="1" errorTitle="ERROR" error="Escriba un número igual o mayor que 0" promptTitle="ERROR" prompt="Escriba un número igual o mayor que 0" sqref="E18:H18" xr:uid="{00000000-0002-0000-1400-000000000000}">
      <formula1>0</formula1>
    </dataValidation>
    <dataValidation allowBlank="1" showInputMessage="1" showErrorMessage="1" sqref="H27 I22:I27" xr:uid="{00000000-0002-0000-1400-000002000000}"/>
    <dataValidation type="list" allowBlank="1" showInputMessage="1" showErrorMessage="1" sqref="E11" xr:uid="{00000000-0002-0000-1400-000003000000}">
      <formula1>REPORTE</formula1>
    </dataValidation>
    <dataValidation type="list" allowBlank="1" showInputMessage="1" showErrorMessage="1" sqref="E10" xr:uid="{00000000-0002-0000-1400-000004000000}">
      <formula1>SI</formula1>
    </dataValidation>
    <dataValidation type="decimal" allowBlank="1" showInputMessage="1" showErrorMessage="1" errorTitle="ERROR" error="Escriba un valor entre 0% y 100%" sqref="F22:H26" xr:uid="{00000000-0002-0000-1400-000001000000}">
      <formula1>0</formula1>
      <formula2>1</formula2>
    </dataValidation>
  </dataValidations>
  <hyperlinks>
    <hyperlink ref="B9" location="'ANEXO 3'!A1" display="VOLVER AL INDICE" xr:uid="{00000000-0004-0000-1400-000000000000}"/>
    <hyperlink ref="E37" r:id="rId1" xr:uid="{00000000-0004-0000-1400-000001000000}"/>
  </hyperlinks>
  <pageMargins left="0.25" right="0.25" top="0.75" bottom="0.75" header="0.3" footer="0.3"/>
  <pageSetup paperSize="178" orientation="landscape" horizontalDpi="1200" verticalDpi="1200"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7"/>
  <dimension ref="A1:U179"/>
  <sheetViews>
    <sheetView showGridLines="0" topLeftCell="A16" zoomScale="98" zoomScaleNormal="98" workbookViewId="0">
      <selection activeCell="Q22" sqref="Q22"/>
    </sheetView>
  </sheetViews>
  <sheetFormatPr baseColWidth="10" defaultRowHeight="14.4"/>
  <cols>
    <col min="1" max="1" width="1.88671875" customWidth="1"/>
    <col min="2" max="2" width="12.88671875" customWidth="1"/>
    <col min="3" max="3" width="5" style="66" bestFit="1" customWidth="1"/>
    <col min="4" max="4" width="41.6640625" customWidth="1"/>
    <col min="5" max="5" width="17.88671875" customWidth="1"/>
  </cols>
  <sheetData>
    <row r="1" spans="1:21" s="314" customFormat="1" ht="100.5" customHeight="1" thickBot="1">
      <c r="A1" s="1421"/>
      <c r="B1" s="1422"/>
      <c r="C1" s="1422"/>
      <c r="D1" s="1422"/>
      <c r="E1" s="1422"/>
      <c r="F1" s="1422"/>
      <c r="G1" s="1422"/>
      <c r="H1" s="1422"/>
      <c r="I1" s="1422"/>
      <c r="J1" s="1422"/>
      <c r="K1" s="1422"/>
      <c r="L1" s="1422"/>
      <c r="M1" s="1422"/>
      <c r="N1" s="1422"/>
      <c r="O1" s="1422"/>
      <c r="P1" s="1423"/>
      <c r="Q1"/>
      <c r="R1"/>
    </row>
    <row r="2" spans="1:21" s="315" customFormat="1" ht="16.2" thickBot="1">
      <c r="A2" s="1418" t="str">
        <f>+'Datos Generales'!C5</f>
        <v>Corporación Autónoma Regional del Atlántico – CRA</v>
      </c>
      <c r="B2" s="1419"/>
      <c r="C2" s="1419"/>
      <c r="D2" s="1419"/>
      <c r="E2" s="1419"/>
      <c r="F2" s="1419"/>
      <c r="G2" s="1419"/>
      <c r="H2" s="1419"/>
      <c r="I2" s="1419"/>
      <c r="J2" s="1419"/>
      <c r="K2" s="1419"/>
      <c r="L2" s="1419"/>
      <c r="M2" s="1419"/>
      <c r="N2" s="1419"/>
      <c r="O2" s="1419"/>
      <c r="P2" s="1420"/>
      <c r="Q2"/>
      <c r="R2"/>
    </row>
    <row r="3" spans="1:21" s="315" customFormat="1" ht="16.2" thickBot="1">
      <c r="A3" s="1426" t="s">
        <v>1295</v>
      </c>
      <c r="B3" s="1427"/>
      <c r="C3" s="1427"/>
      <c r="D3" s="1427"/>
      <c r="E3" s="1427"/>
      <c r="F3" s="1427"/>
      <c r="G3" s="1427"/>
      <c r="H3" s="1427"/>
      <c r="I3" s="1427"/>
      <c r="J3" s="1427"/>
      <c r="K3" s="1427"/>
      <c r="L3" s="1427"/>
      <c r="M3" s="1427"/>
      <c r="N3" s="1427"/>
      <c r="O3" s="1427"/>
      <c r="P3" s="1428"/>
      <c r="Q3"/>
      <c r="R3"/>
    </row>
    <row r="4" spans="1:21" s="315" customFormat="1" ht="16.2" thickBot="1">
      <c r="A4" s="1424" t="s">
        <v>1294</v>
      </c>
      <c r="B4" s="1425"/>
      <c r="C4" s="1425"/>
      <c r="D4" s="1425"/>
      <c r="E4" s="322" t="str">
        <f>+'Datos Generales'!C6</f>
        <v>2023-II</v>
      </c>
      <c r="F4" s="322"/>
      <c r="G4" s="322"/>
      <c r="H4" s="322"/>
      <c r="I4" s="322"/>
      <c r="J4" s="322"/>
      <c r="K4" s="322"/>
      <c r="L4" s="323"/>
      <c r="M4" s="323"/>
      <c r="N4" s="323"/>
      <c r="O4" s="323"/>
      <c r="P4" s="324"/>
      <c r="Q4"/>
      <c r="R4"/>
    </row>
    <row r="5" spans="1:21" ht="16.5" customHeight="1" thickBot="1">
      <c r="A5" s="1426" t="s">
        <v>629</v>
      </c>
      <c r="B5" s="1427"/>
      <c r="C5" s="1427"/>
      <c r="D5" s="1427"/>
      <c r="E5" s="1427"/>
      <c r="F5" s="1427"/>
      <c r="G5" s="1427"/>
      <c r="H5" s="1427"/>
      <c r="I5" s="1427"/>
      <c r="J5" s="1427"/>
      <c r="K5" s="1427"/>
      <c r="L5" s="1427"/>
      <c r="M5" s="1427"/>
      <c r="N5" s="1427"/>
      <c r="O5" s="1427"/>
      <c r="P5" s="1428"/>
    </row>
    <row r="6" spans="1:21">
      <c r="B6" s="1" t="s">
        <v>1</v>
      </c>
      <c r="C6" s="64"/>
      <c r="D6" s="5"/>
      <c r="E6" s="62"/>
      <c r="F6" s="5" t="s">
        <v>127</v>
      </c>
      <c r="G6" s="5"/>
      <c r="H6" s="5"/>
      <c r="I6" s="5"/>
      <c r="J6" s="5"/>
      <c r="K6" s="5"/>
    </row>
    <row r="7" spans="1:21" ht="15" thickBot="1">
      <c r="B7" s="63"/>
      <c r="C7" s="65"/>
      <c r="D7" s="5"/>
      <c r="E7" s="14"/>
      <c r="F7" s="5" t="s">
        <v>128</v>
      </c>
      <c r="G7" s="5"/>
      <c r="H7" s="5"/>
      <c r="I7" s="5"/>
      <c r="J7" s="5"/>
      <c r="K7" s="5"/>
    </row>
    <row r="8" spans="1:21" ht="15" thickBot="1">
      <c r="B8" s="144" t="s">
        <v>1180</v>
      </c>
      <c r="C8" s="571">
        <v>2023</v>
      </c>
      <c r="D8" s="171">
        <f>IF(E10="NO APLICA","NO APLICA",IF(E11="NO SE REPORTA","SIN INFORMACION",+H22))</f>
        <v>1</v>
      </c>
      <c r="E8" s="168"/>
      <c r="F8" s="5" t="s">
        <v>129</v>
      </c>
      <c r="G8" s="5"/>
      <c r="H8" s="5"/>
      <c r="I8" s="5"/>
      <c r="J8" s="5"/>
      <c r="K8" s="5"/>
    </row>
    <row r="9" spans="1:21">
      <c r="B9" s="300" t="s">
        <v>1181</v>
      </c>
      <c r="D9" s="5"/>
      <c r="E9" s="5"/>
      <c r="F9" s="5"/>
      <c r="G9" s="5"/>
      <c r="H9" s="5"/>
      <c r="I9" s="5"/>
      <c r="J9" s="5"/>
      <c r="K9" s="5"/>
    </row>
    <row r="10" spans="1:21">
      <c r="B10" s="1429" t="s">
        <v>1236</v>
      </c>
      <c r="C10" s="1429"/>
      <c r="D10" s="1429"/>
      <c r="E10" s="303" t="s">
        <v>1233</v>
      </c>
      <c r="F10" s="1436"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437"/>
      <c r="H10" s="1437"/>
      <c r="I10" s="1437"/>
      <c r="J10" s="1437"/>
      <c r="K10" s="1437"/>
      <c r="L10" s="1437"/>
      <c r="M10" s="1437"/>
      <c r="N10" s="1437"/>
      <c r="O10" s="1437"/>
      <c r="P10" s="1437"/>
      <c r="Q10" s="1437"/>
      <c r="R10" s="1437"/>
      <c r="S10" s="1437"/>
      <c r="T10" s="5"/>
      <c r="U10" s="5"/>
    </row>
    <row r="11" spans="1:21" ht="14.4" customHeight="1">
      <c r="B11" s="302"/>
      <c r="C11" s="67"/>
      <c r="D11" s="144" t="str">
        <f>IF(E10="SI APLICA","¿El indicador no se reporta por limitaciones de información disponible? ","")</f>
        <v xml:space="preserve">¿El indicador no se reporta por limitaciones de información disponible? </v>
      </c>
      <c r="E11" s="304" t="s">
        <v>1235</v>
      </c>
      <c r="F11" s="1430"/>
      <c r="G11" s="1431"/>
      <c r="H11" s="1431"/>
      <c r="I11" s="1431"/>
      <c r="J11" s="1431"/>
      <c r="K11" s="1431"/>
      <c r="L11" s="1431"/>
      <c r="M11" s="1431"/>
      <c r="N11" s="1431"/>
      <c r="O11" s="1431"/>
      <c r="P11" s="1431"/>
      <c r="Q11" s="1431"/>
      <c r="R11" s="1431"/>
      <c r="S11" s="1431"/>
    </row>
    <row r="12" spans="1:21" ht="30" customHeight="1">
      <c r="B12" s="300"/>
      <c r="C12" s="67"/>
      <c r="D12" s="144" t="str">
        <f>IF(E11="SI SE REPORTA","¿Qué programas o proyectos del Plan de Acción están asociados al indicador? ","")</f>
        <v xml:space="preserve">¿Qué programas o proyectos del Plan de Acción están asociados al indicador? </v>
      </c>
      <c r="E12" s="1560" t="s">
        <v>1851</v>
      </c>
      <c r="F12" s="1560"/>
      <c r="G12" s="1560"/>
      <c r="H12" s="1560"/>
      <c r="I12" s="1560"/>
      <c r="J12" s="1560"/>
      <c r="K12" s="1560"/>
      <c r="L12" s="1560"/>
      <c r="M12" s="1560"/>
      <c r="N12" s="1560"/>
      <c r="O12" s="1560"/>
      <c r="P12" s="1560"/>
      <c r="Q12" s="1560"/>
      <c r="R12" s="1560"/>
    </row>
    <row r="13" spans="1:21" ht="39.75" customHeight="1">
      <c r="B13" s="300"/>
      <c r="C13" s="67"/>
      <c r="D13" s="144" t="s">
        <v>1238</v>
      </c>
      <c r="E13" s="1433" t="s">
        <v>1960</v>
      </c>
      <c r="F13" s="1434"/>
      <c r="G13" s="1434"/>
      <c r="H13" s="1434"/>
      <c r="I13" s="1434"/>
      <c r="J13" s="1434"/>
      <c r="K13" s="1434"/>
      <c r="L13" s="1434"/>
      <c r="M13" s="1434"/>
      <c r="N13" s="1434"/>
      <c r="O13" s="1434"/>
      <c r="P13" s="1434"/>
      <c r="Q13" s="1434"/>
      <c r="R13" s="1435"/>
    </row>
    <row r="14" spans="1:21" ht="6.9" customHeight="1" thickBot="1">
      <c r="B14" s="300"/>
      <c r="D14" s="5"/>
      <c r="E14" s="5"/>
      <c r="F14" s="5"/>
      <c r="G14" s="5"/>
      <c r="H14" s="5"/>
      <c r="I14" s="5"/>
      <c r="J14" s="5"/>
      <c r="K14" s="5"/>
    </row>
    <row r="15" spans="1:21" ht="15" thickBot="1">
      <c r="B15" s="1459" t="s">
        <v>2</v>
      </c>
      <c r="C15" s="68"/>
      <c r="D15" s="1450" t="s">
        <v>3</v>
      </c>
      <c r="E15" s="1451"/>
      <c r="F15" s="1451"/>
      <c r="G15" s="1451"/>
      <c r="H15" s="1451"/>
      <c r="I15" s="1452"/>
      <c r="J15" s="5"/>
      <c r="K15" s="5"/>
    </row>
    <row r="16" spans="1:21" ht="47.25" customHeight="1" thickBot="1">
      <c r="B16" s="1460"/>
      <c r="C16" s="73"/>
      <c r="D16" s="34" t="s">
        <v>643</v>
      </c>
      <c r="E16" s="512">
        <v>22</v>
      </c>
      <c r="F16" s="5"/>
      <c r="G16" s="5"/>
      <c r="H16" s="5"/>
      <c r="I16" s="17"/>
      <c r="J16" s="5"/>
      <c r="K16" s="5"/>
    </row>
    <row r="17" spans="2:11" ht="66.75" customHeight="1" thickBot="1">
      <c r="B17" s="1460"/>
      <c r="C17" s="73"/>
      <c r="D17" s="32" t="s">
        <v>1996</v>
      </c>
      <c r="E17" s="512">
        <v>22</v>
      </c>
      <c r="F17" s="5"/>
      <c r="G17" s="5"/>
      <c r="H17" s="5"/>
      <c r="I17" s="17"/>
      <c r="J17" s="5"/>
      <c r="K17" s="5"/>
    </row>
    <row r="18" spans="2:11" ht="15" thickBot="1">
      <c r="B18" s="1460"/>
      <c r="C18" s="71"/>
      <c r="D18" s="1472"/>
      <c r="E18" s="1473"/>
      <c r="F18" s="1473"/>
      <c r="G18" s="1473"/>
      <c r="H18" s="1473"/>
      <c r="I18" s="1474"/>
      <c r="J18" s="5"/>
      <c r="K18" s="5"/>
    </row>
    <row r="19" spans="2:11" ht="21.75" customHeight="1" thickBot="1">
      <c r="B19" s="1460"/>
      <c r="C19" s="73"/>
      <c r="D19" s="588" t="s">
        <v>149</v>
      </c>
      <c r="E19" s="594" t="s">
        <v>19</v>
      </c>
      <c r="F19" s="594" t="s">
        <v>20</v>
      </c>
      <c r="G19" s="594" t="s">
        <v>21</v>
      </c>
      <c r="H19" s="594" t="s">
        <v>22</v>
      </c>
      <c r="I19" s="594" t="s">
        <v>150</v>
      </c>
      <c r="J19" s="5"/>
      <c r="K19" s="5"/>
    </row>
    <row r="20" spans="2:11" ht="36.6" thickBot="1">
      <c r="B20" s="1460"/>
      <c r="C20" s="73"/>
      <c r="D20" s="32" t="s">
        <v>644</v>
      </c>
      <c r="E20" s="512">
        <v>23</v>
      </c>
      <c r="F20" s="512">
        <v>23</v>
      </c>
      <c r="G20" s="512">
        <v>22</v>
      </c>
      <c r="H20" s="512">
        <v>22</v>
      </c>
      <c r="I20" s="523">
        <f>SUM(E20:H20)</f>
        <v>90</v>
      </c>
      <c r="J20" s="5"/>
      <c r="K20" s="5"/>
    </row>
    <row r="21" spans="2:11" ht="36.6" thickBot="1">
      <c r="B21" s="1460"/>
      <c r="C21" s="73"/>
      <c r="D21" s="32" t="s">
        <v>645</v>
      </c>
      <c r="E21" s="512">
        <v>23</v>
      </c>
      <c r="F21" s="512">
        <v>22</v>
      </c>
      <c r="G21" s="512">
        <v>22</v>
      </c>
      <c r="H21" s="512">
        <v>22</v>
      </c>
      <c r="I21" s="523">
        <f>SUM(E21:H21)</f>
        <v>89</v>
      </c>
      <c r="J21" s="5"/>
      <c r="K21" s="5"/>
    </row>
    <row r="22" spans="2:11" ht="36.6" thickBot="1">
      <c r="B22" s="1461"/>
      <c r="C22" s="2"/>
      <c r="D22" s="32" t="s">
        <v>646</v>
      </c>
      <c r="E22" s="120">
        <f>IFERROR(E21/E20,0)</f>
        <v>1</v>
      </c>
      <c r="F22" s="120">
        <f>IFERROR(F21/F20,0)</f>
        <v>0.95652173913043481</v>
      </c>
      <c r="G22" s="120">
        <f>IFERROR(G21/G20,0)</f>
        <v>1</v>
      </c>
      <c r="H22" s="120">
        <f>IFERROR(H21/H20,0)</f>
        <v>1</v>
      </c>
      <c r="I22" s="120">
        <f>IFERROR(I21/I20,0)</f>
        <v>0.98888888888888893</v>
      </c>
      <c r="J22" s="5"/>
      <c r="K22" s="5"/>
    </row>
    <row r="23" spans="2:11" ht="36" customHeight="1" thickBot="1">
      <c r="B23" s="37" t="s">
        <v>33</v>
      </c>
      <c r="C23" s="72"/>
      <c r="D23" s="1462" t="s">
        <v>647</v>
      </c>
      <c r="E23" s="1463"/>
      <c r="F23" s="1463"/>
      <c r="G23" s="1463"/>
      <c r="H23" s="1463"/>
      <c r="I23" s="1464"/>
      <c r="J23" s="5"/>
      <c r="K23" s="5"/>
    </row>
    <row r="24" spans="2:11" ht="36" customHeight="1" thickBot="1">
      <c r="B24" s="37" t="s">
        <v>35</v>
      </c>
      <c r="C24" s="72"/>
      <c r="D24" s="1462" t="s">
        <v>158</v>
      </c>
      <c r="E24" s="1463"/>
      <c r="F24" s="1463"/>
      <c r="G24" s="1463"/>
      <c r="H24" s="1463"/>
      <c r="I24" s="1464"/>
      <c r="J24" s="5"/>
      <c r="K24" s="5"/>
    </row>
    <row r="25" spans="2:11" ht="15" thickBot="1">
      <c r="B25" s="29"/>
      <c r="C25" s="67"/>
      <c r="D25" s="5"/>
      <c r="E25" s="5"/>
      <c r="F25" s="5"/>
      <c r="G25" s="5"/>
      <c r="H25" s="5"/>
      <c r="I25" s="5"/>
      <c r="J25" s="5"/>
      <c r="K25" s="5"/>
    </row>
    <row r="26" spans="2:11" ht="24" customHeight="1" thickBot="1">
      <c r="B26" s="1469" t="s">
        <v>37</v>
      </c>
      <c r="C26" s="1470"/>
      <c r="D26" s="1470"/>
      <c r="E26" s="1471"/>
      <c r="F26" s="5"/>
      <c r="G26" s="5"/>
      <c r="H26" s="5"/>
      <c r="I26" s="5"/>
      <c r="J26" s="5"/>
      <c r="K26" s="5"/>
    </row>
    <row r="27" spans="2:11" ht="25.5" customHeight="1" thickBot="1">
      <c r="B27" s="1459">
        <v>1</v>
      </c>
      <c r="C27" s="73"/>
      <c r="D27" s="38" t="s">
        <v>38</v>
      </c>
      <c r="E27" s="593" t="s">
        <v>1814</v>
      </c>
      <c r="F27" s="5"/>
      <c r="G27" s="5"/>
      <c r="H27" s="5"/>
      <c r="I27" s="5"/>
      <c r="J27" s="5"/>
      <c r="K27" s="5"/>
    </row>
    <row r="28" spans="2:11" ht="24.6" thickBot="1">
      <c r="B28" s="1460"/>
      <c r="C28" s="73"/>
      <c r="D28" s="32" t="s">
        <v>39</v>
      </c>
      <c r="E28" s="24" t="s">
        <v>1824</v>
      </c>
      <c r="F28" s="5"/>
      <c r="G28" s="5"/>
      <c r="H28" s="5"/>
      <c r="I28" s="5"/>
      <c r="J28" s="5"/>
      <c r="K28" s="5"/>
    </row>
    <row r="29" spans="2:11" ht="15" thickBot="1">
      <c r="B29" s="1460"/>
      <c r="C29" s="73"/>
      <c r="D29" s="32" t="s">
        <v>40</v>
      </c>
      <c r="E29" s="24" t="s">
        <v>2057</v>
      </c>
      <c r="F29" s="5"/>
      <c r="G29" s="5"/>
      <c r="H29" s="5"/>
      <c r="I29" s="5"/>
      <c r="J29" s="5"/>
      <c r="K29" s="5"/>
    </row>
    <row r="30" spans="2:11" ht="15" thickBot="1">
      <c r="B30" s="1460"/>
      <c r="C30" s="73"/>
      <c r="D30" s="32" t="s">
        <v>41</v>
      </c>
      <c r="E30" s="24" t="s">
        <v>2050</v>
      </c>
      <c r="F30" s="5"/>
      <c r="G30" s="5"/>
      <c r="H30" s="5"/>
      <c r="I30" s="5"/>
      <c r="J30" s="5"/>
      <c r="K30" s="5"/>
    </row>
    <row r="31" spans="2:11" ht="29.4" thickBot="1">
      <c r="B31" s="1460"/>
      <c r="C31" s="73"/>
      <c r="D31" s="32" t="s">
        <v>42</v>
      </c>
      <c r="E31" s="507" t="s">
        <v>1825</v>
      </c>
      <c r="F31" s="5"/>
      <c r="G31" s="5"/>
      <c r="H31" s="5"/>
      <c r="I31" s="5"/>
      <c r="J31" s="5"/>
      <c r="K31" s="5"/>
    </row>
    <row r="32" spans="2:11" ht="15" thickBot="1">
      <c r="B32" s="1460"/>
      <c r="C32" s="73"/>
      <c r="D32" s="32" t="s">
        <v>43</v>
      </c>
      <c r="E32" s="24" t="s">
        <v>1826</v>
      </c>
      <c r="F32" s="5"/>
      <c r="G32" s="5"/>
      <c r="H32" s="5"/>
      <c r="I32" s="5"/>
      <c r="J32" s="5"/>
      <c r="K32" s="5"/>
    </row>
    <row r="33" spans="2:11" ht="15" thickBot="1">
      <c r="B33" s="1461"/>
      <c r="C33" s="2"/>
      <c r="D33" s="32" t="s">
        <v>44</v>
      </c>
      <c r="E33" s="24" t="s">
        <v>1817</v>
      </c>
      <c r="F33" s="5"/>
      <c r="G33" s="5"/>
      <c r="H33" s="5"/>
      <c r="I33" s="5"/>
      <c r="J33" s="5"/>
      <c r="K33" s="5"/>
    </row>
    <row r="34" spans="2:11" ht="15" thickBot="1">
      <c r="B34" s="1"/>
      <c r="C34" s="64"/>
      <c r="D34" s="5"/>
      <c r="E34" s="5"/>
      <c r="F34" s="5"/>
      <c r="G34" s="5"/>
      <c r="H34" s="5"/>
      <c r="I34" s="5"/>
      <c r="J34" s="5"/>
      <c r="K34" s="5"/>
    </row>
    <row r="35" spans="2:11" ht="15" thickBot="1">
      <c r="B35" s="1469" t="s">
        <v>45</v>
      </c>
      <c r="C35" s="1470"/>
      <c r="D35" s="1470"/>
      <c r="E35" s="1471"/>
      <c r="F35" s="5"/>
      <c r="G35" s="5"/>
      <c r="H35" s="5"/>
      <c r="I35" s="5"/>
      <c r="J35" s="5"/>
      <c r="K35" s="5"/>
    </row>
    <row r="36" spans="2:11" ht="15" thickBot="1">
      <c r="B36" s="1459">
        <v>1</v>
      </c>
      <c r="C36" s="73"/>
      <c r="D36" s="38" t="s">
        <v>38</v>
      </c>
      <c r="E36" s="177" t="s">
        <v>46</v>
      </c>
      <c r="F36" s="5"/>
      <c r="G36" s="5"/>
      <c r="H36" s="5"/>
      <c r="I36" s="5"/>
      <c r="J36" s="5"/>
      <c r="K36" s="5"/>
    </row>
    <row r="37" spans="2:11" ht="15" thickBot="1">
      <c r="B37" s="1460"/>
      <c r="C37" s="73"/>
      <c r="D37" s="32" t="s">
        <v>39</v>
      </c>
      <c r="E37" s="177" t="s">
        <v>159</v>
      </c>
      <c r="F37" s="5"/>
      <c r="G37" s="5"/>
      <c r="H37" s="5"/>
      <c r="I37" s="5"/>
      <c r="J37" s="5"/>
      <c r="K37" s="5"/>
    </row>
    <row r="38" spans="2:11" ht="15" thickBot="1">
      <c r="B38" s="1460"/>
      <c r="C38" s="73"/>
      <c r="D38" s="32" t="s">
        <v>40</v>
      </c>
      <c r="E38" s="194"/>
      <c r="F38" s="5"/>
      <c r="G38" s="5"/>
      <c r="H38" s="5"/>
      <c r="I38" s="5"/>
      <c r="J38" s="5"/>
      <c r="K38" s="5"/>
    </row>
    <row r="39" spans="2:11" ht="15" thickBot="1">
      <c r="B39" s="1460"/>
      <c r="C39" s="73"/>
      <c r="D39" s="32" t="s">
        <v>41</v>
      </c>
      <c r="E39" s="194"/>
      <c r="F39" s="5"/>
      <c r="G39" s="5"/>
      <c r="H39" s="5"/>
      <c r="I39" s="5"/>
      <c r="J39" s="5"/>
      <c r="K39" s="5"/>
    </row>
    <row r="40" spans="2:11" ht="15" thickBot="1">
      <c r="B40" s="1460"/>
      <c r="C40" s="73"/>
      <c r="D40" s="32" t="s">
        <v>42</v>
      </c>
      <c r="E40" s="194"/>
      <c r="F40" s="5"/>
      <c r="G40" s="5"/>
      <c r="H40" s="5"/>
      <c r="I40" s="5"/>
      <c r="J40" s="5"/>
      <c r="K40" s="5"/>
    </row>
    <row r="41" spans="2:11" ht="15" thickBot="1">
      <c r="B41" s="1460"/>
      <c r="C41" s="73"/>
      <c r="D41" s="32" t="s">
        <v>43</v>
      </c>
      <c r="E41" s="194"/>
      <c r="F41" s="5"/>
      <c r="G41" s="5"/>
      <c r="H41" s="5"/>
      <c r="I41" s="5"/>
      <c r="J41" s="5"/>
      <c r="K41" s="5"/>
    </row>
    <row r="42" spans="2:11" ht="15" thickBot="1">
      <c r="B42" s="1461"/>
      <c r="C42" s="2"/>
      <c r="D42" s="32" t="s">
        <v>44</v>
      </c>
      <c r="E42" s="194"/>
      <c r="F42" s="5"/>
      <c r="G42" s="5"/>
      <c r="H42" s="5"/>
      <c r="I42" s="5"/>
      <c r="J42" s="5"/>
      <c r="K42" s="5"/>
    </row>
    <row r="43" spans="2:11" ht="15" thickBot="1">
      <c r="B43" s="29"/>
      <c r="C43" s="67"/>
      <c r="D43" s="5"/>
      <c r="E43" s="5"/>
      <c r="F43" s="5"/>
      <c r="G43" s="5"/>
      <c r="H43" s="5"/>
      <c r="I43" s="5"/>
      <c r="J43" s="5"/>
      <c r="K43" s="5"/>
    </row>
    <row r="44" spans="2:11" ht="15" customHeight="1" thickBot="1">
      <c r="B44" s="97" t="s">
        <v>48</v>
      </c>
      <c r="C44" s="98"/>
      <c r="D44" s="98"/>
      <c r="E44" s="99"/>
      <c r="G44" s="5"/>
      <c r="H44" s="5"/>
      <c r="I44" s="5"/>
      <c r="J44" s="5"/>
      <c r="K44" s="5"/>
    </row>
    <row r="45" spans="2:11" ht="24.6" thickBot="1">
      <c r="B45" s="37" t="s">
        <v>49</v>
      </c>
      <c r="C45" s="32" t="s">
        <v>50</v>
      </c>
      <c r="D45" s="32" t="s">
        <v>51</v>
      </c>
      <c r="E45" s="32" t="s">
        <v>52</v>
      </c>
      <c r="F45" s="5"/>
      <c r="G45" s="5"/>
      <c r="H45" s="5"/>
      <c r="I45" s="5"/>
      <c r="J45" s="5"/>
    </row>
    <row r="46" spans="2:11" ht="60.6" thickBot="1">
      <c r="B46" s="39">
        <v>42401</v>
      </c>
      <c r="C46" s="32">
        <v>0.01</v>
      </c>
      <c r="D46" s="40" t="s">
        <v>648</v>
      </c>
      <c r="E46" s="32"/>
      <c r="F46" s="5"/>
      <c r="G46" s="5"/>
      <c r="H46" s="5"/>
      <c r="I46" s="5"/>
      <c r="J46" s="5"/>
    </row>
    <row r="47" spans="2:11" ht="15" thickBot="1">
      <c r="B47" s="3"/>
      <c r="C47" s="74"/>
      <c r="D47" s="5"/>
      <c r="E47" s="5"/>
      <c r="F47" s="5"/>
      <c r="G47" s="5"/>
      <c r="H47" s="5"/>
      <c r="I47" s="5"/>
      <c r="J47" s="5"/>
      <c r="K47" s="5"/>
    </row>
    <row r="48" spans="2:11" ht="15" thickBot="1">
      <c r="B48" s="106" t="s">
        <v>54</v>
      </c>
      <c r="C48" s="75"/>
      <c r="D48" s="5"/>
      <c r="E48" s="5"/>
      <c r="F48" s="5"/>
      <c r="G48" s="5"/>
      <c r="H48" s="5"/>
      <c r="I48" s="5"/>
      <c r="J48" s="5"/>
      <c r="K48" s="5"/>
    </row>
    <row r="49" spans="2:11">
      <c r="B49" s="1532"/>
      <c r="C49" s="1533"/>
      <c r="D49" s="1533"/>
      <c r="E49" s="1534"/>
      <c r="F49" s="5"/>
      <c r="G49" s="5"/>
      <c r="H49" s="5"/>
      <c r="I49" s="5"/>
      <c r="J49" s="5"/>
      <c r="K49" s="5"/>
    </row>
    <row r="50" spans="2:11" ht="15" thickBot="1">
      <c r="B50" s="1535"/>
      <c r="C50" s="1536"/>
      <c r="D50" s="1536"/>
      <c r="E50" s="1537"/>
      <c r="F50" s="5"/>
      <c r="G50" s="5"/>
      <c r="H50" s="5"/>
      <c r="I50" s="5"/>
      <c r="J50" s="5"/>
      <c r="K50" s="5"/>
    </row>
    <row r="51" spans="2:11" ht="15" thickBot="1">
      <c r="B51" s="5"/>
      <c r="D51" s="5"/>
      <c r="E51" s="5"/>
      <c r="F51" s="5"/>
      <c r="G51" s="5"/>
      <c r="H51" s="5"/>
      <c r="I51" s="5"/>
      <c r="J51" s="5"/>
      <c r="K51" s="5"/>
    </row>
    <row r="52" spans="2:11" ht="24.6" thickBot="1">
      <c r="B52" s="41" t="s">
        <v>55</v>
      </c>
      <c r="C52" s="76"/>
      <c r="D52" s="5"/>
      <c r="E52" s="5"/>
      <c r="F52" s="5"/>
      <c r="G52" s="5"/>
      <c r="H52" s="5"/>
      <c r="I52" s="5"/>
      <c r="J52" s="5"/>
      <c r="K52" s="5"/>
    </row>
    <row r="53" spans="2:11" ht="15" thickBot="1">
      <c r="B53" s="1"/>
      <c r="C53" s="64"/>
      <c r="D53" s="5"/>
      <c r="E53" s="5"/>
      <c r="F53" s="5"/>
      <c r="G53" s="5"/>
      <c r="H53" s="5"/>
      <c r="I53" s="5"/>
      <c r="J53" s="5"/>
      <c r="K53" s="5"/>
    </row>
    <row r="54" spans="2:11" ht="60.6" thickBot="1">
      <c r="B54" s="42" t="s">
        <v>56</v>
      </c>
      <c r="C54" s="77"/>
      <c r="D54" s="34" t="s">
        <v>630</v>
      </c>
      <c r="E54" s="5"/>
      <c r="F54" s="5"/>
      <c r="G54" s="5"/>
      <c r="H54" s="5"/>
      <c r="I54" s="5"/>
      <c r="J54" s="5"/>
      <c r="K54" s="5"/>
    </row>
    <row r="55" spans="2:11">
      <c r="B55" s="1459" t="s">
        <v>58</v>
      </c>
      <c r="C55" s="73"/>
      <c r="D55" s="43" t="s">
        <v>59</v>
      </c>
      <c r="E55" s="5"/>
      <c r="F55" s="5"/>
      <c r="G55" s="5"/>
      <c r="H55" s="5"/>
      <c r="I55" s="5"/>
      <c r="J55" s="5"/>
      <c r="K55" s="5"/>
    </row>
    <row r="56" spans="2:11" ht="60">
      <c r="B56" s="1460"/>
      <c r="C56" s="73"/>
      <c r="D56" s="36" t="s">
        <v>631</v>
      </c>
      <c r="E56" s="5"/>
      <c r="F56" s="5"/>
      <c r="G56" s="5"/>
      <c r="H56" s="5"/>
      <c r="I56" s="5"/>
      <c r="J56" s="5"/>
      <c r="K56" s="5"/>
    </row>
    <row r="57" spans="2:11">
      <c r="B57" s="1460"/>
      <c r="C57" s="73"/>
      <c r="D57" s="43" t="s">
        <v>133</v>
      </c>
      <c r="E57" s="5"/>
      <c r="F57" s="5"/>
      <c r="G57" s="5"/>
      <c r="H57" s="5"/>
      <c r="I57" s="5"/>
      <c r="J57" s="5"/>
      <c r="K57" s="5"/>
    </row>
    <row r="58" spans="2:11">
      <c r="B58" s="1460"/>
      <c r="C58" s="73"/>
      <c r="D58" s="36" t="s">
        <v>63</v>
      </c>
      <c r="E58" s="5"/>
      <c r="F58" s="5"/>
      <c r="G58" s="5"/>
      <c r="H58" s="5"/>
      <c r="I58" s="5"/>
      <c r="J58" s="5"/>
      <c r="K58" s="5"/>
    </row>
    <row r="59" spans="2:11" ht="24">
      <c r="B59" s="1460"/>
      <c r="C59" s="73"/>
      <c r="D59" s="36" t="s">
        <v>632</v>
      </c>
      <c r="E59" s="5"/>
      <c r="F59" s="5"/>
      <c r="G59" s="5"/>
      <c r="H59" s="5"/>
      <c r="I59" s="5"/>
      <c r="J59" s="5"/>
      <c r="K59" s="5"/>
    </row>
    <row r="60" spans="2:11" ht="24">
      <c r="B60" s="1460"/>
      <c r="C60" s="73"/>
      <c r="D60" s="36" t="s">
        <v>633</v>
      </c>
      <c r="E60" s="5"/>
      <c r="F60" s="5"/>
      <c r="G60" s="5"/>
      <c r="H60" s="5"/>
      <c r="I60" s="5"/>
      <c r="J60" s="5"/>
      <c r="K60" s="5"/>
    </row>
    <row r="61" spans="2:11">
      <c r="B61" s="1460"/>
      <c r="C61" s="73"/>
      <c r="D61" s="36" t="s">
        <v>634</v>
      </c>
      <c r="E61" s="5"/>
      <c r="F61" s="5"/>
      <c r="G61" s="5"/>
      <c r="H61" s="5"/>
      <c r="I61" s="5"/>
      <c r="J61" s="5"/>
      <c r="K61" s="5"/>
    </row>
    <row r="62" spans="2:11">
      <c r="B62" s="1460"/>
      <c r="C62" s="73"/>
      <c r="D62" s="43" t="s">
        <v>140</v>
      </c>
      <c r="E62" s="5"/>
      <c r="F62" s="5"/>
      <c r="G62" s="5"/>
      <c r="H62" s="5"/>
      <c r="I62" s="5"/>
      <c r="J62" s="5"/>
      <c r="K62" s="5"/>
    </row>
    <row r="63" spans="2:11" ht="36.6" thickBot="1">
      <c r="B63" s="1461"/>
      <c r="C63" s="2"/>
      <c r="D63" s="32" t="s">
        <v>635</v>
      </c>
      <c r="E63" s="5"/>
      <c r="F63" s="5"/>
      <c r="G63" s="5"/>
      <c r="H63" s="5"/>
      <c r="I63" s="5"/>
      <c r="J63" s="5"/>
      <c r="K63" s="5"/>
    </row>
    <row r="64" spans="2:11" ht="24.6" thickBot="1">
      <c r="B64" s="37" t="s">
        <v>71</v>
      </c>
      <c r="C64" s="2"/>
      <c r="D64" s="32"/>
      <c r="E64" s="5"/>
      <c r="F64" s="5"/>
      <c r="G64" s="5"/>
      <c r="H64" s="5"/>
      <c r="I64" s="5"/>
      <c r="J64" s="5"/>
      <c r="K64" s="5"/>
    </row>
    <row r="65" spans="2:11" ht="192">
      <c r="B65" s="1459" t="s">
        <v>72</v>
      </c>
      <c r="C65" s="73"/>
      <c r="D65" s="36" t="s">
        <v>636</v>
      </c>
      <c r="E65" s="5"/>
      <c r="F65" s="5"/>
      <c r="G65" s="5"/>
      <c r="H65" s="5"/>
      <c r="I65" s="5"/>
      <c r="J65" s="5"/>
      <c r="K65" s="5"/>
    </row>
    <row r="66" spans="2:11" ht="96">
      <c r="B66" s="1460"/>
      <c r="C66" s="73"/>
      <c r="D66" s="36" t="s">
        <v>637</v>
      </c>
      <c r="E66" s="5"/>
      <c r="F66" s="5"/>
      <c r="G66" s="5"/>
      <c r="H66" s="5"/>
      <c r="I66" s="5"/>
      <c r="J66" s="5"/>
      <c r="K66" s="5"/>
    </row>
    <row r="67" spans="2:11" ht="48.6" thickBot="1">
      <c r="B67" s="1461"/>
      <c r="C67" s="2"/>
      <c r="D67" s="32" t="s">
        <v>638</v>
      </c>
      <c r="E67" s="5"/>
      <c r="F67" s="5"/>
      <c r="G67" s="5"/>
      <c r="H67" s="5"/>
      <c r="I67" s="5"/>
      <c r="J67" s="5"/>
      <c r="K67" s="5"/>
    </row>
    <row r="68" spans="2:11">
      <c r="B68" s="1459" t="s">
        <v>89</v>
      </c>
      <c r="C68" s="73"/>
      <c r="D68" s="36"/>
      <c r="E68" s="5"/>
      <c r="F68" s="5"/>
      <c r="G68" s="5"/>
      <c r="H68" s="5"/>
      <c r="I68" s="5"/>
      <c r="J68" s="5"/>
      <c r="K68" s="5"/>
    </row>
    <row r="69" spans="2:11">
      <c r="B69" s="1460"/>
      <c r="C69" s="73"/>
      <c r="D69" s="13"/>
      <c r="E69" s="5"/>
      <c r="F69" s="5"/>
      <c r="G69" s="5"/>
      <c r="H69" s="5"/>
      <c r="I69" s="5"/>
      <c r="J69" s="5"/>
      <c r="K69" s="5"/>
    </row>
    <row r="70" spans="2:11">
      <c r="B70" s="1460"/>
      <c r="C70" s="73"/>
      <c r="D70" s="36" t="s">
        <v>90</v>
      </c>
      <c r="E70" s="5"/>
      <c r="F70" s="5"/>
      <c r="G70" s="5"/>
      <c r="H70" s="5"/>
      <c r="I70" s="5"/>
      <c r="J70" s="5"/>
      <c r="K70" s="5"/>
    </row>
    <row r="71" spans="2:11" ht="50.4">
      <c r="B71" s="1460"/>
      <c r="C71" s="73"/>
      <c r="D71" s="36" t="s">
        <v>639</v>
      </c>
      <c r="E71" s="5"/>
      <c r="F71" s="5"/>
      <c r="G71" s="5"/>
      <c r="H71" s="5"/>
      <c r="I71" s="5"/>
      <c r="J71" s="5"/>
      <c r="K71" s="5"/>
    </row>
    <row r="72" spans="2:11" ht="38.4">
      <c r="B72" s="1460"/>
      <c r="C72" s="73"/>
      <c r="D72" s="36" t="s">
        <v>640</v>
      </c>
      <c r="E72" s="5"/>
      <c r="F72" s="5"/>
      <c r="G72" s="5"/>
      <c r="H72" s="5"/>
      <c r="I72" s="5"/>
      <c r="J72" s="5"/>
      <c r="K72" s="5"/>
    </row>
    <row r="73" spans="2:11" ht="38.4">
      <c r="B73" s="1460"/>
      <c r="C73" s="73"/>
      <c r="D73" s="36" t="s">
        <v>641</v>
      </c>
      <c r="E73" s="5"/>
      <c r="F73" s="5"/>
      <c r="G73" s="5"/>
      <c r="H73" s="5"/>
      <c r="I73" s="5"/>
      <c r="J73" s="5"/>
      <c r="K73" s="5"/>
    </row>
    <row r="74" spans="2:11" ht="48.6" thickBot="1">
      <c r="B74" s="1461"/>
      <c r="C74" s="2"/>
      <c r="D74" s="32" t="s">
        <v>642</v>
      </c>
      <c r="E74" s="5"/>
      <c r="F74" s="5"/>
      <c r="G74" s="5"/>
      <c r="H74" s="5"/>
      <c r="I74" s="5"/>
      <c r="J74" s="5"/>
      <c r="K74" s="5"/>
    </row>
    <row r="75" spans="2:11">
      <c r="B75" s="5"/>
      <c r="D75" s="5"/>
      <c r="E75" s="5"/>
      <c r="F75" s="5"/>
      <c r="G75" s="5"/>
      <c r="H75" s="5"/>
      <c r="I75" s="5"/>
      <c r="J75" s="5"/>
      <c r="K75" s="5"/>
    </row>
    <row r="76" spans="2:11">
      <c r="B76" s="5"/>
      <c r="D76" s="5"/>
      <c r="E76" s="5"/>
      <c r="F76" s="5"/>
      <c r="G76" s="5"/>
      <c r="H76" s="5"/>
      <c r="I76" s="5"/>
      <c r="J76" s="5"/>
      <c r="K76" s="5"/>
    </row>
    <row r="77" spans="2:11">
      <c r="B77" s="5"/>
      <c r="D77" s="5"/>
      <c r="E77" s="5"/>
      <c r="F77" s="5"/>
      <c r="G77" s="5"/>
      <c r="H77" s="5"/>
      <c r="I77" s="5"/>
      <c r="J77" s="5"/>
      <c r="K77" s="5"/>
    </row>
    <row r="78" spans="2:11">
      <c r="B78" s="5"/>
      <c r="D78" s="5"/>
      <c r="E78" s="5"/>
      <c r="F78" s="5"/>
      <c r="G78" s="5"/>
      <c r="H78" s="5"/>
      <c r="I78" s="5"/>
      <c r="J78" s="5"/>
      <c r="K78" s="5"/>
    </row>
    <row r="79" spans="2:11">
      <c r="B79" s="5"/>
      <c r="D79" s="5"/>
      <c r="E79" s="5"/>
      <c r="F79" s="5"/>
      <c r="G79" s="5"/>
      <c r="H79" s="5"/>
      <c r="I79" s="5"/>
      <c r="J79" s="5"/>
      <c r="K79" s="5"/>
    </row>
    <row r="80" spans="2:11">
      <c r="B80" s="5"/>
      <c r="D80" s="5"/>
      <c r="E80" s="5"/>
      <c r="F80" s="5"/>
      <c r="G80" s="5"/>
      <c r="H80" s="5"/>
      <c r="I80" s="5"/>
      <c r="J80" s="5"/>
      <c r="K80" s="5"/>
    </row>
    <row r="81" spans="2:11">
      <c r="B81" s="5"/>
      <c r="D81" s="5"/>
      <c r="E81" s="5"/>
      <c r="F81" s="5"/>
      <c r="G81" s="5"/>
      <c r="H81" s="5"/>
      <c r="I81" s="5"/>
      <c r="J81" s="5"/>
      <c r="K81" s="5"/>
    </row>
    <row r="82" spans="2:11">
      <c r="B82" s="5"/>
      <c r="D82" s="5"/>
      <c r="E82" s="5"/>
      <c r="F82" s="5"/>
      <c r="G82" s="5"/>
      <c r="H82" s="5"/>
      <c r="I82" s="5"/>
      <c r="J82" s="5"/>
      <c r="K82" s="5"/>
    </row>
    <row r="83" spans="2:11">
      <c r="B83" s="5"/>
      <c r="D83" s="5"/>
      <c r="E83" s="5"/>
      <c r="F83" s="5"/>
      <c r="G83" s="5"/>
      <c r="H83" s="5"/>
      <c r="I83" s="5"/>
      <c r="J83" s="5"/>
      <c r="K83" s="5"/>
    </row>
    <row r="84" spans="2:11">
      <c r="B84" s="5"/>
      <c r="D84" s="5"/>
      <c r="E84" s="5"/>
      <c r="F84" s="5"/>
      <c r="G84" s="5"/>
      <c r="H84" s="5"/>
      <c r="I84" s="5"/>
      <c r="J84" s="5"/>
      <c r="K84" s="5"/>
    </row>
    <row r="85" spans="2:11">
      <c r="B85" s="5"/>
      <c r="D85" s="5"/>
      <c r="E85" s="5"/>
      <c r="F85" s="5"/>
      <c r="G85" s="5"/>
      <c r="H85" s="5"/>
      <c r="I85" s="5"/>
      <c r="J85" s="5"/>
      <c r="K85" s="5"/>
    </row>
    <row r="86" spans="2:11">
      <c r="B86" s="5"/>
      <c r="D86" s="5"/>
      <c r="E86" s="5"/>
      <c r="F86" s="5"/>
      <c r="G86" s="5"/>
      <c r="H86" s="5"/>
      <c r="I86" s="5"/>
      <c r="J86" s="5"/>
      <c r="K86" s="5"/>
    </row>
    <row r="87" spans="2:11">
      <c r="B87" s="5"/>
      <c r="D87" s="5"/>
      <c r="E87" s="5"/>
      <c r="F87" s="5"/>
      <c r="G87" s="5"/>
      <c r="H87" s="5"/>
      <c r="I87" s="5"/>
      <c r="J87" s="5"/>
      <c r="K87" s="5"/>
    </row>
    <row r="88" spans="2:11">
      <c r="B88" s="5"/>
      <c r="D88" s="5"/>
      <c r="E88" s="5"/>
      <c r="F88" s="5"/>
      <c r="G88" s="5"/>
      <c r="H88" s="5"/>
      <c r="I88" s="5"/>
      <c r="J88" s="5"/>
      <c r="K88" s="5"/>
    </row>
    <row r="89" spans="2:11">
      <c r="B89" s="5"/>
      <c r="D89" s="5"/>
      <c r="E89" s="5"/>
      <c r="F89" s="5"/>
      <c r="G89" s="5"/>
      <c r="H89" s="5"/>
      <c r="I89" s="5"/>
      <c r="J89" s="5"/>
      <c r="K89" s="5"/>
    </row>
    <row r="90" spans="2:11">
      <c r="B90" s="5"/>
      <c r="D90" s="5"/>
      <c r="E90" s="5"/>
      <c r="F90" s="5"/>
      <c r="G90" s="5"/>
      <c r="H90" s="5"/>
      <c r="I90" s="5"/>
      <c r="J90" s="5"/>
      <c r="K90" s="5"/>
    </row>
    <row r="91" spans="2:11">
      <c r="B91" s="5"/>
      <c r="D91" s="5"/>
      <c r="E91" s="5"/>
      <c r="F91" s="5"/>
      <c r="G91" s="5"/>
      <c r="H91" s="5"/>
      <c r="I91" s="5"/>
      <c r="J91" s="5"/>
      <c r="K91" s="5"/>
    </row>
    <row r="92" spans="2:11">
      <c r="B92" s="5"/>
      <c r="D92" s="5"/>
      <c r="E92" s="5"/>
      <c r="F92" s="5"/>
      <c r="G92" s="5"/>
      <c r="H92" s="5"/>
      <c r="I92" s="5"/>
      <c r="J92" s="5"/>
      <c r="K92" s="5"/>
    </row>
    <row r="93" spans="2:11">
      <c r="B93" s="5"/>
      <c r="D93" s="5"/>
      <c r="E93" s="5"/>
      <c r="F93" s="5"/>
      <c r="G93" s="5"/>
      <c r="H93" s="5"/>
      <c r="I93" s="5"/>
      <c r="J93" s="5"/>
      <c r="K93" s="5"/>
    </row>
    <row r="94" spans="2:11">
      <c r="B94" s="5"/>
      <c r="D94" s="5"/>
      <c r="E94" s="5"/>
      <c r="F94" s="5"/>
      <c r="G94" s="5"/>
      <c r="H94" s="5"/>
      <c r="I94" s="5"/>
      <c r="J94" s="5"/>
      <c r="K94" s="5"/>
    </row>
    <row r="95" spans="2:11">
      <c r="B95" s="5"/>
      <c r="D95" s="5"/>
      <c r="E95" s="5"/>
      <c r="F95" s="5"/>
      <c r="G95" s="5"/>
      <c r="H95" s="5"/>
      <c r="I95" s="5"/>
      <c r="J95" s="5"/>
      <c r="K95" s="5"/>
    </row>
    <row r="96" spans="2:11">
      <c r="B96" s="5"/>
      <c r="D96" s="5"/>
      <c r="E96" s="5"/>
      <c r="F96" s="5"/>
      <c r="G96" s="5"/>
      <c r="H96" s="5"/>
      <c r="I96" s="5"/>
      <c r="J96" s="5"/>
      <c r="K96" s="5"/>
    </row>
    <row r="97" spans="2:11">
      <c r="B97" s="5"/>
      <c r="D97" s="5"/>
      <c r="E97" s="5"/>
      <c r="F97" s="5"/>
      <c r="G97" s="5"/>
      <c r="H97" s="5"/>
      <c r="I97" s="5"/>
      <c r="J97" s="5"/>
      <c r="K97" s="5"/>
    </row>
    <row r="98" spans="2:11">
      <c r="B98" s="5"/>
      <c r="D98" s="5"/>
      <c r="E98" s="5"/>
      <c r="F98" s="5"/>
      <c r="G98" s="5"/>
      <c r="H98" s="5"/>
      <c r="I98" s="5"/>
      <c r="J98" s="5"/>
      <c r="K98" s="5"/>
    </row>
    <row r="99" spans="2:11">
      <c r="B99" s="5"/>
      <c r="D99" s="5"/>
      <c r="E99" s="5"/>
      <c r="F99" s="5"/>
      <c r="G99" s="5"/>
      <c r="H99" s="5"/>
      <c r="I99" s="5"/>
      <c r="J99" s="5"/>
      <c r="K99" s="5"/>
    </row>
    <row r="100" spans="2:11">
      <c r="B100" s="5"/>
      <c r="D100" s="5"/>
      <c r="E100" s="5"/>
      <c r="F100" s="5"/>
      <c r="G100" s="5"/>
      <c r="H100" s="5"/>
      <c r="I100" s="5"/>
      <c r="J100" s="5"/>
      <c r="K100" s="5"/>
    </row>
    <row r="101" spans="2:11">
      <c r="B101" s="5"/>
      <c r="D101" s="5"/>
      <c r="E101" s="5"/>
      <c r="F101" s="5"/>
      <c r="G101" s="5"/>
      <c r="H101" s="5"/>
      <c r="I101" s="5"/>
      <c r="J101" s="5"/>
      <c r="K101" s="5"/>
    </row>
    <row r="102" spans="2:11">
      <c r="B102" s="5"/>
      <c r="D102" s="5"/>
      <c r="E102" s="5"/>
      <c r="F102" s="5"/>
      <c r="G102" s="5"/>
      <c r="H102" s="5"/>
      <c r="I102" s="5"/>
      <c r="J102" s="5"/>
      <c r="K102" s="5"/>
    </row>
    <row r="103" spans="2:11">
      <c r="B103" s="5"/>
      <c r="D103" s="5"/>
      <c r="E103" s="5"/>
      <c r="F103" s="5"/>
      <c r="G103" s="5"/>
      <c r="H103" s="5"/>
      <c r="I103" s="5"/>
      <c r="J103" s="5"/>
      <c r="K103" s="5"/>
    </row>
    <row r="104" spans="2:11">
      <c r="B104" s="5"/>
      <c r="D104" s="5"/>
      <c r="E104" s="5"/>
      <c r="F104" s="5"/>
      <c r="G104" s="5"/>
      <c r="H104" s="5"/>
      <c r="I104" s="5"/>
      <c r="J104" s="5"/>
      <c r="K104" s="5"/>
    </row>
    <row r="105" spans="2:11">
      <c r="B105" s="5"/>
      <c r="D105" s="5"/>
      <c r="E105" s="5"/>
      <c r="F105" s="5"/>
      <c r="G105" s="5"/>
      <c r="H105" s="5"/>
      <c r="I105" s="5"/>
      <c r="J105" s="5"/>
      <c r="K105" s="5"/>
    </row>
    <row r="106" spans="2:11">
      <c r="B106" s="5"/>
      <c r="D106" s="5"/>
      <c r="E106" s="5"/>
      <c r="F106" s="5"/>
      <c r="G106" s="5"/>
      <c r="H106" s="5"/>
      <c r="I106" s="5"/>
      <c r="J106" s="5"/>
      <c r="K106" s="5"/>
    </row>
    <row r="107" spans="2:11">
      <c r="B107" s="5"/>
      <c r="D107" s="5"/>
      <c r="E107" s="5"/>
      <c r="F107" s="5"/>
      <c r="G107" s="5"/>
      <c r="H107" s="5"/>
      <c r="I107" s="5"/>
      <c r="J107" s="5"/>
      <c r="K107" s="5"/>
    </row>
    <row r="108" spans="2:11">
      <c r="B108" s="5"/>
      <c r="D108" s="5"/>
      <c r="E108" s="5"/>
      <c r="F108" s="5"/>
      <c r="G108" s="5"/>
      <c r="H108" s="5"/>
      <c r="I108" s="5"/>
      <c r="J108" s="5"/>
      <c r="K108" s="5"/>
    </row>
    <row r="109" spans="2:11">
      <c r="B109" s="5"/>
      <c r="D109" s="5"/>
      <c r="E109" s="5"/>
      <c r="F109" s="5"/>
      <c r="G109" s="5"/>
      <c r="H109" s="5"/>
      <c r="I109" s="5"/>
      <c r="J109" s="5"/>
      <c r="K109" s="5"/>
    </row>
    <row r="110" spans="2:11">
      <c r="B110" s="5"/>
      <c r="D110" s="5"/>
      <c r="E110" s="5"/>
      <c r="F110" s="5"/>
      <c r="G110" s="5"/>
      <c r="H110" s="5"/>
      <c r="I110" s="5"/>
      <c r="J110" s="5"/>
      <c r="K110" s="5"/>
    </row>
    <row r="111" spans="2:11">
      <c r="B111" s="5"/>
      <c r="D111" s="5"/>
      <c r="E111" s="5"/>
      <c r="F111" s="5"/>
      <c r="G111" s="5"/>
      <c r="H111" s="5"/>
      <c r="I111" s="5"/>
      <c r="J111" s="5"/>
      <c r="K111" s="5"/>
    </row>
    <row r="112" spans="2:11">
      <c r="B112" s="5"/>
      <c r="D112" s="5"/>
      <c r="E112" s="5"/>
      <c r="F112" s="5"/>
      <c r="G112" s="5"/>
      <c r="H112" s="5"/>
      <c r="I112" s="5"/>
      <c r="J112" s="5"/>
      <c r="K112" s="5"/>
    </row>
    <row r="113" spans="2:11">
      <c r="B113" s="5"/>
      <c r="D113" s="5"/>
      <c r="E113" s="5"/>
      <c r="F113" s="5"/>
      <c r="G113" s="5"/>
      <c r="H113" s="5"/>
      <c r="I113" s="5"/>
      <c r="J113" s="5"/>
      <c r="K113" s="5"/>
    </row>
    <row r="114" spans="2:11">
      <c r="B114" s="5"/>
      <c r="D114" s="5"/>
      <c r="E114" s="5"/>
      <c r="F114" s="5"/>
      <c r="G114" s="5"/>
      <c r="H114" s="5"/>
      <c r="I114" s="5"/>
      <c r="J114" s="5"/>
      <c r="K114" s="5"/>
    </row>
    <row r="115" spans="2:11">
      <c r="B115" s="5"/>
      <c r="D115" s="5"/>
      <c r="E115" s="5"/>
      <c r="F115" s="5"/>
      <c r="G115" s="5"/>
      <c r="H115" s="5"/>
      <c r="I115" s="5"/>
      <c r="J115" s="5"/>
      <c r="K115" s="5"/>
    </row>
    <row r="116" spans="2:11">
      <c r="B116" s="5"/>
      <c r="D116" s="5"/>
      <c r="E116" s="5"/>
      <c r="F116" s="5"/>
      <c r="G116" s="5"/>
      <c r="H116" s="5"/>
      <c r="I116" s="5"/>
      <c r="J116" s="5"/>
      <c r="K116" s="5"/>
    </row>
    <row r="117" spans="2:11">
      <c r="B117" s="5"/>
      <c r="D117" s="5"/>
      <c r="E117" s="5"/>
      <c r="F117" s="5"/>
      <c r="G117" s="5"/>
      <c r="H117" s="5"/>
      <c r="I117" s="5"/>
      <c r="J117" s="5"/>
      <c r="K117" s="5"/>
    </row>
    <row r="118" spans="2:11">
      <c r="B118" s="5"/>
      <c r="D118" s="5"/>
      <c r="E118" s="5"/>
      <c r="F118" s="5"/>
      <c r="G118" s="5"/>
      <c r="H118" s="5"/>
      <c r="I118" s="5"/>
      <c r="J118" s="5"/>
      <c r="K118" s="5"/>
    </row>
    <row r="119" spans="2:11">
      <c r="B119" s="5"/>
      <c r="D119" s="5"/>
      <c r="E119" s="5"/>
      <c r="F119" s="5"/>
      <c r="G119" s="5"/>
      <c r="H119" s="5"/>
      <c r="I119" s="5"/>
      <c r="J119" s="5"/>
      <c r="K119" s="5"/>
    </row>
    <row r="120" spans="2:11">
      <c r="B120" s="5"/>
      <c r="D120" s="5"/>
      <c r="E120" s="5"/>
      <c r="F120" s="5"/>
      <c r="G120" s="5"/>
      <c r="H120" s="5"/>
      <c r="I120" s="5"/>
      <c r="J120" s="5"/>
      <c r="K120" s="5"/>
    </row>
    <row r="121" spans="2:11">
      <c r="B121" s="5"/>
      <c r="D121" s="5"/>
      <c r="E121" s="5"/>
      <c r="F121" s="5"/>
      <c r="G121" s="5"/>
      <c r="H121" s="5"/>
      <c r="I121" s="5"/>
      <c r="J121" s="5"/>
      <c r="K121" s="5"/>
    </row>
    <row r="122" spans="2:11">
      <c r="B122" s="5"/>
      <c r="D122" s="5"/>
      <c r="E122" s="5"/>
      <c r="F122" s="5"/>
      <c r="G122" s="5"/>
      <c r="H122" s="5"/>
      <c r="I122" s="5"/>
      <c r="J122" s="5"/>
      <c r="K122" s="5"/>
    </row>
    <row r="123" spans="2:11">
      <c r="B123" s="5"/>
      <c r="D123" s="5"/>
      <c r="E123" s="5"/>
      <c r="F123" s="5"/>
      <c r="G123" s="5"/>
      <c r="H123" s="5"/>
      <c r="I123" s="5"/>
      <c r="J123" s="5"/>
      <c r="K123" s="5"/>
    </row>
    <row r="124" spans="2:11">
      <c r="B124" s="5"/>
      <c r="D124" s="5"/>
      <c r="E124" s="5"/>
      <c r="F124" s="5"/>
      <c r="G124" s="5"/>
      <c r="H124" s="5"/>
      <c r="I124" s="5"/>
      <c r="J124" s="5"/>
      <c r="K124" s="5"/>
    </row>
    <row r="125" spans="2:11">
      <c r="B125" s="5"/>
      <c r="D125" s="5"/>
      <c r="E125" s="5"/>
      <c r="F125" s="5"/>
      <c r="G125" s="5"/>
      <c r="H125" s="5"/>
      <c r="I125" s="5"/>
      <c r="J125" s="5"/>
      <c r="K125" s="5"/>
    </row>
    <row r="126" spans="2:11">
      <c r="B126" s="5"/>
      <c r="D126" s="5"/>
      <c r="E126" s="5"/>
      <c r="F126" s="5"/>
      <c r="G126" s="5"/>
      <c r="H126" s="5"/>
      <c r="I126" s="5"/>
      <c r="J126" s="5"/>
      <c r="K126" s="5"/>
    </row>
    <row r="127" spans="2:11">
      <c r="B127" s="5"/>
      <c r="D127" s="5"/>
      <c r="E127" s="5"/>
      <c r="F127" s="5"/>
      <c r="G127" s="5"/>
      <c r="H127" s="5"/>
      <c r="I127" s="5"/>
      <c r="J127" s="5"/>
      <c r="K127" s="5"/>
    </row>
    <row r="128" spans="2:11">
      <c r="B128" s="5"/>
      <c r="D128" s="5"/>
      <c r="E128" s="5"/>
      <c r="F128" s="5"/>
      <c r="G128" s="5"/>
      <c r="H128" s="5"/>
      <c r="I128" s="5"/>
      <c r="J128" s="5"/>
      <c r="K128" s="5"/>
    </row>
    <row r="129" spans="2:11">
      <c r="B129" s="5"/>
      <c r="D129" s="5"/>
      <c r="E129" s="5"/>
      <c r="F129" s="5"/>
      <c r="G129" s="5"/>
      <c r="H129" s="5"/>
      <c r="I129" s="5"/>
      <c r="J129" s="5"/>
      <c r="K129" s="5"/>
    </row>
    <row r="130" spans="2:11">
      <c r="B130" s="5"/>
      <c r="D130" s="5"/>
      <c r="E130" s="5"/>
      <c r="F130" s="5"/>
      <c r="G130" s="5"/>
      <c r="H130" s="5"/>
      <c r="I130" s="5"/>
      <c r="J130" s="5"/>
      <c r="K130" s="5"/>
    </row>
    <row r="131" spans="2:11">
      <c r="B131" s="5"/>
      <c r="D131" s="5"/>
      <c r="E131" s="5"/>
      <c r="F131" s="5"/>
      <c r="G131" s="5"/>
      <c r="H131" s="5"/>
      <c r="I131" s="5"/>
      <c r="J131" s="5"/>
      <c r="K131" s="5"/>
    </row>
    <row r="132" spans="2:11">
      <c r="B132" s="5"/>
      <c r="D132" s="5"/>
      <c r="E132" s="5"/>
      <c r="F132" s="5"/>
      <c r="G132" s="5"/>
      <c r="H132" s="5"/>
      <c r="I132" s="5"/>
      <c r="J132" s="5"/>
      <c r="K132" s="5"/>
    </row>
    <row r="133" spans="2:11">
      <c r="B133" s="5"/>
      <c r="D133" s="5"/>
      <c r="E133" s="5"/>
      <c r="F133" s="5"/>
      <c r="G133" s="5"/>
      <c r="H133" s="5"/>
      <c r="I133" s="5"/>
      <c r="J133" s="5"/>
      <c r="K133" s="5"/>
    </row>
    <row r="134" spans="2:11">
      <c r="B134" s="5"/>
      <c r="D134" s="5"/>
      <c r="E134" s="5"/>
      <c r="F134" s="5"/>
      <c r="G134" s="5"/>
      <c r="H134" s="5"/>
      <c r="I134" s="5"/>
      <c r="J134" s="5"/>
      <c r="K134" s="5"/>
    </row>
    <row r="135" spans="2:11">
      <c r="B135" s="5"/>
      <c r="D135" s="5"/>
      <c r="E135" s="5"/>
      <c r="F135" s="5"/>
      <c r="G135" s="5"/>
      <c r="H135" s="5"/>
      <c r="I135" s="5"/>
      <c r="J135" s="5"/>
      <c r="K135" s="5"/>
    </row>
    <row r="136" spans="2:11">
      <c r="B136" s="5"/>
      <c r="D136" s="5"/>
      <c r="E136" s="5"/>
      <c r="F136" s="5"/>
      <c r="G136" s="5"/>
      <c r="H136" s="5"/>
      <c r="I136" s="5"/>
      <c r="J136" s="5"/>
      <c r="K136" s="5"/>
    </row>
    <row r="137" spans="2:11">
      <c r="B137" s="5"/>
      <c r="D137" s="5"/>
      <c r="E137" s="5"/>
      <c r="F137" s="5"/>
      <c r="G137" s="5"/>
      <c r="H137" s="5"/>
      <c r="I137" s="5"/>
      <c r="J137" s="5"/>
      <c r="K137" s="5"/>
    </row>
    <row r="138" spans="2:11">
      <c r="B138" s="5"/>
      <c r="D138" s="5"/>
      <c r="E138" s="5"/>
      <c r="F138" s="5"/>
      <c r="G138" s="5"/>
      <c r="H138" s="5"/>
      <c r="I138" s="5"/>
      <c r="J138" s="5"/>
      <c r="K138" s="5"/>
    </row>
    <row r="139" spans="2:11">
      <c r="B139" s="5"/>
      <c r="D139" s="5"/>
      <c r="E139" s="5"/>
      <c r="F139" s="5"/>
      <c r="G139" s="5"/>
      <c r="H139" s="5"/>
      <c r="I139" s="5"/>
      <c r="J139" s="5"/>
      <c r="K139" s="5"/>
    </row>
    <row r="140" spans="2:11">
      <c r="B140" s="5"/>
      <c r="D140" s="5"/>
      <c r="E140" s="5"/>
      <c r="F140" s="5"/>
      <c r="G140" s="5"/>
      <c r="H140" s="5"/>
      <c r="I140" s="5"/>
      <c r="J140" s="5"/>
      <c r="K140" s="5"/>
    </row>
    <row r="141" spans="2:11">
      <c r="B141" s="5"/>
      <c r="D141" s="5"/>
      <c r="E141" s="5"/>
      <c r="F141" s="5"/>
      <c r="G141" s="5"/>
      <c r="H141" s="5"/>
      <c r="I141" s="5"/>
      <c r="J141" s="5"/>
      <c r="K141" s="5"/>
    </row>
    <row r="142" spans="2:11">
      <c r="B142" s="5"/>
      <c r="D142" s="5"/>
      <c r="E142" s="5"/>
      <c r="F142" s="5"/>
      <c r="G142" s="5"/>
      <c r="H142" s="5"/>
      <c r="I142" s="5"/>
      <c r="J142" s="5"/>
      <c r="K142" s="5"/>
    </row>
    <row r="143" spans="2:11">
      <c r="B143" s="5"/>
      <c r="D143" s="5"/>
      <c r="E143" s="5"/>
      <c r="F143" s="5"/>
      <c r="G143" s="5"/>
      <c r="H143" s="5"/>
      <c r="I143" s="5"/>
      <c r="J143" s="5"/>
      <c r="K143" s="5"/>
    </row>
    <row r="144" spans="2:11">
      <c r="B144" s="5"/>
      <c r="D144" s="5"/>
      <c r="E144" s="5"/>
      <c r="F144" s="5"/>
      <c r="G144" s="5"/>
      <c r="H144" s="5"/>
      <c r="I144" s="5"/>
      <c r="J144" s="5"/>
      <c r="K144" s="5"/>
    </row>
    <row r="145" spans="2:11">
      <c r="B145" s="5"/>
      <c r="D145" s="5"/>
      <c r="E145" s="5"/>
      <c r="F145" s="5"/>
      <c r="G145" s="5"/>
      <c r="H145" s="5"/>
      <c r="I145" s="5"/>
      <c r="J145" s="5"/>
      <c r="K145" s="5"/>
    </row>
    <row r="146" spans="2:11">
      <c r="B146" s="5"/>
      <c r="D146" s="5"/>
      <c r="E146" s="5"/>
      <c r="F146" s="5"/>
      <c r="G146" s="5"/>
      <c r="H146" s="5"/>
      <c r="I146" s="5"/>
      <c r="J146" s="5"/>
      <c r="K146" s="5"/>
    </row>
    <row r="147" spans="2:11">
      <c r="B147" s="5"/>
      <c r="D147" s="5"/>
      <c r="E147" s="5"/>
      <c r="F147" s="5"/>
      <c r="G147" s="5"/>
      <c r="H147" s="5"/>
      <c r="I147" s="5"/>
      <c r="J147" s="5"/>
      <c r="K147" s="5"/>
    </row>
    <row r="148" spans="2:11">
      <c r="B148" s="5"/>
      <c r="D148" s="5"/>
      <c r="E148" s="5"/>
      <c r="F148" s="5"/>
      <c r="G148" s="5"/>
      <c r="H148" s="5"/>
      <c r="I148" s="5"/>
      <c r="J148" s="5"/>
      <c r="K148" s="5"/>
    </row>
    <row r="149" spans="2:11">
      <c r="B149" s="5"/>
      <c r="D149" s="5"/>
      <c r="E149" s="5"/>
      <c r="F149" s="5"/>
      <c r="G149" s="5"/>
      <c r="H149" s="5"/>
      <c r="I149" s="5"/>
      <c r="J149" s="5"/>
      <c r="K149" s="5"/>
    </row>
    <row r="150" spans="2:11">
      <c r="B150" s="5"/>
      <c r="D150" s="5"/>
      <c r="E150" s="5"/>
      <c r="F150" s="5"/>
      <c r="G150" s="5"/>
      <c r="H150" s="5"/>
      <c r="I150" s="5"/>
      <c r="J150" s="5"/>
      <c r="K150" s="5"/>
    </row>
    <row r="151" spans="2:11">
      <c r="B151" s="5"/>
      <c r="D151" s="5"/>
      <c r="E151" s="5"/>
      <c r="F151" s="5"/>
      <c r="G151" s="5"/>
      <c r="H151" s="5"/>
      <c r="I151" s="5"/>
      <c r="J151" s="5"/>
      <c r="K151" s="5"/>
    </row>
    <row r="152" spans="2:11">
      <c r="B152" s="5"/>
      <c r="D152" s="5"/>
      <c r="E152" s="5"/>
      <c r="F152" s="5"/>
      <c r="G152" s="5"/>
      <c r="H152" s="5"/>
      <c r="I152" s="5"/>
      <c r="J152" s="5"/>
      <c r="K152" s="5"/>
    </row>
    <row r="153" spans="2:11">
      <c r="B153" s="5"/>
      <c r="D153" s="5"/>
      <c r="E153" s="5"/>
      <c r="F153" s="5"/>
      <c r="G153" s="5"/>
      <c r="H153" s="5"/>
      <c r="I153" s="5"/>
      <c r="J153" s="5"/>
      <c r="K153" s="5"/>
    </row>
    <row r="154" spans="2:11">
      <c r="B154" s="5"/>
      <c r="D154" s="5"/>
      <c r="E154" s="5"/>
      <c r="F154" s="5"/>
      <c r="G154" s="5"/>
      <c r="H154" s="5"/>
      <c r="I154" s="5"/>
      <c r="J154" s="5"/>
      <c r="K154" s="5"/>
    </row>
    <row r="155" spans="2:11">
      <c r="B155" s="5"/>
      <c r="D155" s="5"/>
      <c r="E155" s="5"/>
      <c r="F155" s="5"/>
      <c r="G155" s="5"/>
      <c r="H155" s="5"/>
      <c r="I155" s="5"/>
      <c r="J155" s="5"/>
      <c r="K155" s="5"/>
    </row>
    <row r="156" spans="2:11">
      <c r="B156" s="5"/>
      <c r="D156" s="5"/>
      <c r="E156" s="5"/>
      <c r="F156" s="5"/>
      <c r="G156" s="5"/>
      <c r="H156" s="5"/>
      <c r="I156" s="5"/>
      <c r="J156" s="5"/>
      <c r="K156" s="5"/>
    </row>
    <row r="157" spans="2:11">
      <c r="B157" s="5"/>
      <c r="D157" s="5"/>
      <c r="E157" s="5"/>
      <c r="F157" s="5"/>
      <c r="G157" s="5"/>
      <c r="H157" s="5"/>
      <c r="I157" s="5"/>
      <c r="J157" s="5"/>
      <c r="K157" s="5"/>
    </row>
    <row r="158" spans="2:11">
      <c r="B158" s="5"/>
      <c r="D158" s="5"/>
      <c r="E158" s="5"/>
      <c r="F158" s="5"/>
      <c r="G158" s="5"/>
      <c r="H158" s="5"/>
      <c r="I158" s="5"/>
      <c r="J158" s="5"/>
      <c r="K158" s="5"/>
    </row>
    <row r="159" spans="2:11">
      <c r="B159" s="5"/>
      <c r="D159" s="5"/>
      <c r="E159" s="5"/>
      <c r="F159" s="5"/>
      <c r="G159" s="5"/>
      <c r="H159" s="5"/>
      <c r="I159" s="5"/>
      <c r="J159" s="5"/>
      <c r="K159" s="5"/>
    </row>
    <row r="160" spans="2:11">
      <c r="B160" s="5"/>
      <c r="D160" s="5"/>
      <c r="E160" s="5"/>
      <c r="F160" s="5"/>
      <c r="G160" s="5"/>
      <c r="H160" s="5"/>
      <c r="I160" s="5"/>
      <c r="J160" s="5"/>
      <c r="K160" s="5"/>
    </row>
    <row r="161" spans="2:11">
      <c r="B161" s="5"/>
      <c r="D161" s="5"/>
      <c r="E161" s="5"/>
      <c r="F161" s="5"/>
      <c r="G161" s="5"/>
      <c r="H161" s="5"/>
      <c r="I161" s="5"/>
      <c r="J161" s="5"/>
      <c r="K161" s="5"/>
    </row>
    <row r="162" spans="2:11">
      <c r="B162" s="5"/>
      <c r="D162" s="5"/>
      <c r="E162" s="5"/>
      <c r="F162" s="5"/>
      <c r="G162" s="5"/>
      <c r="H162" s="5"/>
      <c r="I162" s="5"/>
      <c r="J162" s="5"/>
      <c r="K162" s="5"/>
    </row>
    <row r="163" spans="2:11">
      <c r="B163" s="5"/>
      <c r="D163" s="5"/>
      <c r="E163" s="5"/>
      <c r="F163" s="5"/>
      <c r="G163" s="5"/>
      <c r="H163" s="5"/>
      <c r="I163" s="5"/>
      <c r="J163" s="5"/>
      <c r="K163" s="5"/>
    </row>
    <row r="164" spans="2:11">
      <c r="B164" s="5"/>
      <c r="D164" s="5"/>
      <c r="E164" s="5"/>
      <c r="F164" s="5"/>
      <c r="G164" s="5"/>
      <c r="H164" s="5"/>
      <c r="I164" s="5"/>
      <c r="J164" s="5"/>
      <c r="K164" s="5"/>
    </row>
    <row r="165" spans="2:11">
      <c r="B165" s="5"/>
      <c r="D165" s="5"/>
      <c r="E165" s="5"/>
      <c r="F165" s="5"/>
      <c r="G165" s="5"/>
      <c r="H165" s="5"/>
      <c r="I165" s="5"/>
      <c r="J165" s="5"/>
      <c r="K165" s="5"/>
    </row>
    <row r="166" spans="2:11">
      <c r="B166" s="5"/>
      <c r="D166" s="5"/>
      <c r="E166" s="5"/>
      <c r="F166" s="5"/>
      <c r="G166" s="5"/>
      <c r="H166" s="5"/>
      <c r="I166" s="5"/>
      <c r="J166" s="5"/>
      <c r="K166" s="5"/>
    </row>
    <row r="167" spans="2:11">
      <c r="B167" s="5"/>
      <c r="D167" s="5"/>
      <c r="E167" s="5"/>
      <c r="F167" s="5"/>
      <c r="G167" s="5"/>
      <c r="H167" s="5"/>
      <c r="I167" s="5"/>
      <c r="J167" s="5"/>
      <c r="K167" s="5"/>
    </row>
    <row r="168" spans="2:11">
      <c r="B168" s="5"/>
      <c r="D168" s="5"/>
      <c r="E168" s="5"/>
      <c r="F168" s="5"/>
      <c r="G168" s="5"/>
      <c r="H168" s="5"/>
      <c r="I168" s="5"/>
      <c r="J168" s="5"/>
      <c r="K168" s="5"/>
    </row>
    <row r="169" spans="2:11">
      <c r="B169" s="5"/>
      <c r="D169" s="5"/>
      <c r="E169" s="5"/>
      <c r="F169" s="5"/>
      <c r="G169" s="5"/>
      <c r="H169" s="5"/>
      <c r="I169" s="5"/>
      <c r="J169" s="5"/>
      <c r="K169" s="5"/>
    </row>
    <row r="170" spans="2:11">
      <c r="B170" s="5"/>
      <c r="D170" s="5"/>
      <c r="E170" s="5"/>
      <c r="F170" s="5"/>
      <c r="G170" s="5"/>
      <c r="H170" s="5"/>
      <c r="I170" s="5"/>
      <c r="J170" s="5"/>
      <c r="K170" s="5"/>
    </row>
    <row r="171" spans="2:11">
      <c r="B171" s="5"/>
      <c r="D171" s="5"/>
      <c r="E171" s="5"/>
      <c r="F171" s="5"/>
      <c r="G171" s="5"/>
      <c r="H171" s="5"/>
      <c r="I171" s="5"/>
      <c r="J171" s="5"/>
      <c r="K171" s="5"/>
    </row>
    <row r="172" spans="2:11">
      <c r="B172" s="5"/>
      <c r="D172" s="5"/>
      <c r="E172" s="5"/>
      <c r="F172" s="5"/>
      <c r="G172" s="5"/>
      <c r="H172" s="5"/>
      <c r="I172" s="5"/>
      <c r="J172" s="5"/>
      <c r="K172" s="5"/>
    </row>
    <row r="173" spans="2:11">
      <c r="B173" s="5"/>
      <c r="D173" s="5"/>
      <c r="E173" s="5"/>
      <c r="F173" s="5"/>
      <c r="G173" s="5"/>
      <c r="H173" s="5"/>
      <c r="I173" s="5"/>
      <c r="J173" s="5"/>
      <c r="K173" s="5"/>
    </row>
    <row r="174" spans="2:11">
      <c r="B174" s="5"/>
      <c r="D174" s="5"/>
      <c r="E174" s="5"/>
      <c r="F174" s="5"/>
      <c r="G174" s="5"/>
      <c r="H174" s="5"/>
      <c r="I174" s="5"/>
      <c r="J174" s="5"/>
      <c r="K174" s="5"/>
    </row>
    <row r="175" spans="2:11">
      <c r="B175" s="5"/>
      <c r="D175" s="5"/>
      <c r="E175" s="5"/>
      <c r="F175" s="5"/>
      <c r="G175" s="5"/>
      <c r="H175" s="5"/>
      <c r="I175" s="5"/>
      <c r="J175" s="5"/>
      <c r="K175" s="5"/>
    </row>
    <row r="176" spans="2:11">
      <c r="B176" s="5"/>
      <c r="D176" s="5"/>
      <c r="E176" s="5"/>
      <c r="F176" s="5"/>
      <c r="G176" s="5"/>
      <c r="H176" s="5"/>
      <c r="I176" s="5"/>
      <c r="J176" s="5"/>
      <c r="K176" s="5"/>
    </row>
    <row r="177" spans="2:11">
      <c r="B177" s="5"/>
      <c r="D177" s="5"/>
      <c r="E177" s="5"/>
      <c r="F177" s="5"/>
      <c r="G177" s="5"/>
      <c r="H177" s="5"/>
      <c r="I177" s="5"/>
      <c r="J177" s="5"/>
      <c r="K177" s="5"/>
    </row>
    <row r="178" spans="2:11">
      <c r="B178" s="5"/>
      <c r="D178" s="5"/>
      <c r="E178" s="5"/>
      <c r="F178" s="5"/>
      <c r="G178" s="5"/>
      <c r="H178" s="5"/>
      <c r="I178" s="5"/>
      <c r="J178" s="5"/>
      <c r="K178" s="5"/>
    </row>
    <row r="179" spans="2:11">
      <c r="B179" s="5"/>
      <c r="D179" s="5"/>
      <c r="E179" s="5"/>
      <c r="F179" s="5"/>
      <c r="G179" s="5"/>
      <c r="H179" s="5"/>
      <c r="I179" s="5"/>
      <c r="J179" s="5"/>
      <c r="K179" s="5"/>
    </row>
  </sheetData>
  <mergeCells count="23">
    <mergeCell ref="B10:D10"/>
    <mergeCell ref="F10:S10"/>
    <mergeCell ref="F11:S11"/>
    <mergeCell ref="E12:R12"/>
    <mergeCell ref="E13:R13"/>
    <mergeCell ref="B55:B63"/>
    <mergeCell ref="B65:B67"/>
    <mergeCell ref="B68:B74"/>
    <mergeCell ref="B15:B22"/>
    <mergeCell ref="D15:I15"/>
    <mergeCell ref="D18:I18"/>
    <mergeCell ref="D23:I23"/>
    <mergeCell ref="D24:I24"/>
    <mergeCell ref="B26:E26"/>
    <mergeCell ref="B27:B33"/>
    <mergeCell ref="B35:E35"/>
    <mergeCell ref="B36:B42"/>
    <mergeCell ref="B49:E50"/>
    <mergeCell ref="A1:P1"/>
    <mergeCell ref="A2:P2"/>
    <mergeCell ref="A3:P3"/>
    <mergeCell ref="A4:D4"/>
    <mergeCell ref="A5:P5"/>
  </mergeCells>
  <conditionalFormatting sqref="E12:R12">
    <cfRule type="expression" dxfId="56" priority="1">
      <formula>E11="SI SE REPORTA"</formula>
    </cfRule>
  </conditionalFormatting>
  <conditionalFormatting sqref="F10">
    <cfRule type="notContainsBlanks" dxfId="55" priority="4">
      <formula>LEN(TRIM(F10))&gt;0</formula>
    </cfRule>
  </conditionalFormatting>
  <conditionalFormatting sqref="F11:S11">
    <cfRule type="expression" dxfId="54" priority="2">
      <formula>E11="NO SE REPORTA"</formula>
    </cfRule>
    <cfRule type="expression" dxfId="53" priority="3">
      <formula>E10="NO APLICA"</formula>
    </cfRule>
  </conditionalFormatting>
  <dataValidations count="4">
    <dataValidation type="whole" operator="greaterThanOrEqual" allowBlank="1" showErrorMessage="1" errorTitle="ERROR" error="Escriba un número igual o mayor que 0" promptTitle="ERROR" prompt="Escriba un número igual o mayor que 0" sqref="E16:E17 E20:H21" xr:uid="{00000000-0002-0000-1500-000000000000}">
      <formula1>0</formula1>
    </dataValidation>
    <dataValidation allowBlank="1" showInputMessage="1" showErrorMessage="1" sqref="I20:I21" xr:uid="{00000000-0002-0000-1500-000001000000}"/>
    <dataValidation type="list" allowBlank="1" showInputMessage="1" showErrorMessage="1" sqref="E11" xr:uid="{00000000-0002-0000-1500-000002000000}">
      <formula1>REPORTE</formula1>
    </dataValidation>
    <dataValidation type="list" allowBlank="1" showInputMessage="1" showErrorMessage="1" sqref="E10" xr:uid="{00000000-0002-0000-1500-000003000000}">
      <formula1>SI</formula1>
    </dataValidation>
  </dataValidations>
  <hyperlinks>
    <hyperlink ref="B9" location="'ANEXO 3'!A1" display="VOLVER AL INDICE" xr:uid="{00000000-0004-0000-1500-000000000000}"/>
    <hyperlink ref="E31" r:id="rId1" xr:uid="{00000000-0004-0000-1500-000001000000}"/>
  </hyperlinks>
  <pageMargins left="0.25" right="0.25" top="0.75" bottom="0.75" header="0.3" footer="0.3"/>
  <pageSetup paperSize="178" orientation="landscape" horizontalDpi="1200" verticalDpi="1200" r:id="rId2"/>
  <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8"/>
  <dimension ref="A1:U180"/>
  <sheetViews>
    <sheetView showGridLines="0" topLeftCell="A25" zoomScale="98" zoomScaleNormal="98" workbookViewId="0">
      <selection activeCell="D19" sqref="D19"/>
    </sheetView>
  </sheetViews>
  <sheetFormatPr baseColWidth="10" defaultRowHeight="14.4"/>
  <cols>
    <col min="1" max="1" width="1.88671875" customWidth="1"/>
    <col min="2" max="2" width="12.88671875" customWidth="1"/>
    <col min="3" max="3" width="5" style="66" bestFit="1" customWidth="1"/>
    <col min="4" max="4" width="34.88671875" customWidth="1"/>
    <col min="5" max="5" width="25" customWidth="1"/>
    <col min="6" max="6" width="22.6640625" customWidth="1"/>
    <col min="7" max="7" width="22.88671875" customWidth="1"/>
    <col min="8" max="8" width="15.109375" customWidth="1"/>
    <col min="9" max="9" width="16" customWidth="1"/>
    <col min="10" max="10" width="15.33203125" customWidth="1"/>
    <col min="11" max="11" width="17.109375" customWidth="1"/>
  </cols>
  <sheetData>
    <row r="1" spans="1:21" s="314" customFormat="1" ht="100.5" customHeight="1" thickBot="1">
      <c r="A1" s="1421"/>
      <c r="B1" s="1422"/>
      <c r="C1" s="1422"/>
      <c r="D1" s="1422"/>
      <c r="E1" s="1422"/>
      <c r="F1" s="1422"/>
      <c r="G1" s="1422"/>
      <c r="H1" s="1422"/>
      <c r="I1" s="1422"/>
      <c r="J1" s="1422"/>
      <c r="K1" s="1422"/>
      <c r="L1" s="1422"/>
      <c r="M1" s="1422"/>
      <c r="N1" s="1422"/>
      <c r="O1" s="1422"/>
      <c r="P1" s="1423"/>
      <c r="Q1"/>
      <c r="R1"/>
    </row>
    <row r="2" spans="1:21" s="315" customFormat="1" ht="16.2" thickBot="1">
      <c r="A2" s="1418" t="str">
        <f>+'Datos Generales'!C5</f>
        <v>Corporación Autónoma Regional del Atlántico – CRA</v>
      </c>
      <c r="B2" s="1419"/>
      <c r="C2" s="1419"/>
      <c r="D2" s="1419"/>
      <c r="E2" s="1419"/>
      <c r="F2" s="1419"/>
      <c r="G2" s="1419"/>
      <c r="H2" s="1419"/>
      <c r="I2" s="1419"/>
      <c r="J2" s="1419"/>
      <c r="K2" s="1419"/>
      <c r="L2" s="1419"/>
      <c r="M2" s="1419"/>
      <c r="N2" s="1419"/>
      <c r="O2" s="1419"/>
      <c r="P2" s="1420"/>
      <c r="Q2"/>
      <c r="R2"/>
    </row>
    <row r="3" spans="1:21" s="315" customFormat="1" ht="16.2" thickBot="1">
      <c r="A3" s="1426" t="s">
        <v>1295</v>
      </c>
      <c r="B3" s="1427"/>
      <c r="C3" s="1427"/>
      <c r="D3" s="1427"/>
      <c r="E3" s="1427"/>
      <c r="F3" s="1427"/>
      <c r="G3" s="1427"/>
      <c r="H3" s="1427"/>
      <c r="I3" s="1427"/>
      <c r="J3" s="1427"/>
      <c r="K3" s="1427"/>
      <c r="L3" s="1427"/>
      <c r="M3" s="1427"/>
      <c r="N3" s="1427"/>
      <c r="O3" s="1427"/>
      <c r="P3" s="1428"/>
      <c r="Q3"/>
      <c r="R3"/>
    </row>
    <row r="4" spans="1:21" s="315" customFormat="1" ht="16.2" thickBot="1">
      <c r="A4" s="1424" t="s">
        <v>1294</v>
      </c>
      <c r="B4" s="1425"/>
      <c r="C4" s="1425"/>
      <c r="D4" s="1425"/>
      <c r="E4" s="322" t="str">
        <f>+'Datos Generales'!C6</f>
        <v>2023-II</v>
      </c>
      <c r="F4" s="322"/>
      <c r="G4" s="322"/>
      <c r="H4" s="322"/>
      <c r="I4" s="322"/>
      <c r="J4" s="322"/>
      <c r="K4" s="322"/>
      <c r="L4" s="323"/>
      <c r="M4" s="323"/>
      <c r="N4" s="323"/>
      <c r="O4" s="323"/>
      <c r="P4" s="324"/>
      <c r="Q4"/>
      <c r="R4"/>
    </row>
    <row r="5" spans="1:21" ht="16.5" customHeight="1" thickBot="1">
      <c r="A5" s="1426" t="s">
        <v>649</v>
      </c>
      <c r="B5" s="1427"/>
      <c r="C5" s="1427"/>
      <c r="D5" s="1427"/>
      <c r="E5" s="1427"/>
      <c r="F5" s="1427"/>
      <c r="G5" s="1427"/>
      <c r="H5" s="1427"/>
      <c r="I5" s="1427"/>
      <c r="J5" s="1427"/>
      <c r="K5" s="1427"/>
      <c r="L5" s="1427"/>
      <c r="M5" s="1427"/>
      <c r="N5" s="1427"/>
      <c r="O5" s="1427"/>
      <c r="P5" s="1428"/>
    </row>
    <row r="6" spans="1:21">
      <c r="B6" s="1" t="s">
        <v>1</v>
      </c>
      <c r="C6" s="64"/>
      <c r="D6" s="5"/>
      <c r="E6" s="62"/>
      <c r="F6" s="5" t="s">
        <v>127</v>
      </c>
      <c r="G6" s="5"/>
      <c r="H6" s="5"/>
      <c r="I6" s="5"/>
      <c r="J6" s="5"/>
      <c r="K6" s="5"/>
    </row>
    <row r="7" spans="1:21" ht="15" thickBot="1">
      <c r="B7" s="23"/>
      <c r="C7" s="65"/>
      <c r="D7" s="5"/>
      <c r="E7" s="14"/>
      <c r="F7" s="5" t="s">
        <v>128</v>
      </c>
      <c r="G7" s="5"/>
      <c r="H7" s="5"/>
      <c r="I7" s="5"/>
      <c r="J7" s="5"/>
      <c r="K7" s="5"/>
    </row>
    <row r="8" spans="1:21" ht="15" thickBot="1">
      <c r="B8" s="143" t="s">
        <v>1180</v>
      </c>
      <c r="C8" s="571">
        <v>2023</v>
      </c>
      <c r="D8" s="171">
        <f>IF(E10="NO APLICA","NO APLICA",IF(E11="NO SE REPORTA","SIN INFORMACION",+H20))</f>
        <v>1</v>
      </c>
      <c r="E8" s="168"/>
      <c r="F8" s="5" t="s">
        <v>129</v>
      </c>
      <c r="G8" s="5"/>
      <c r="H8" s="5"/>
      <c r="I8" s="5"/>
      <c r="J8" s="5"/>
      <c r="K8" s="5"/>
    </row>
    <row r="9" spans="1:21">
      <c r="B9" s="300" t="s">
        <v>1181</v>
      </c>
      <c r="D9" s="5"/>
      <c r="E9" s="5"/>
      <c r="F9" s="5"/>
      <c r="G9" s="5"/>
      <c r="H9" s="5"/>
      <c r="I9" s="5"/>
      <c r="J9" s="5"/>
      <c r="K9" s="5"/>
    </row>
    <row r="10" spans="1:21">
      <c r="B10" s="1429" t="s">
        <v>1236</v>
      </c>
      <c r="C10" s="1429"/>
      <c r="D10" s="1429"/>
      <c r="E10" s="303" t="s">
        <v>1233</v>
      </c>
      <c r="F10" s="1436"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437"/>
      <c r="H10" s="1437"/>
      <c r="I10" s="1437"/>
      <c r="J10" s="1437"/>
      <c r="K10" s="1437"/>
      <c r="L10" s="1437"/>
      <c r="M10" s="1437"/>
      <c r="N10" s="1437"/>
      <c r="O10" s="1437"/>
      <c r="P10" s="1437"/>
      <c r="Q10" s="1437"/>
      <c r="R10" s="1437"/>
      <c r="S10" s="1437"/>
      <c r="T10" s="5"/>
      <c r="U10" s="5"/>
    </row>
    <row r="11" spans="1:21" ht="14.4" customHeight="1">
      <c r="B11" s="302"/>
      <c r="C11" s="67"/>
      <c r="D11" s="144" t="str">
        <f>IF(E10="SI APLICA","¿El indicador no se reporta por limitaciones de información disponible? ","")</f>
        <v xml:space="preserve">¿El indicador no se reporta por limitaciones de información disponible? </v>
      </c>
      <c r="E11" s="304" t="s">
        <v>1235</v>
      </c>
      <c r="F11" s="1430"/>
      <c r="G11" s="1431"/>
      <c r="H11" s="1431"/>
      <c r="I11" s="1431"/>
      <c r="J11" s="1431"/>
      <c r="K11" s="1431"/>
      <c r="L11" s="1431"/>
      <c r="M11" s="1431"/>
      <c r="N11" s="1431"/>
      <c r="O11" s="1431"/>
      <c r="P11" s="1431"/>
      <c r="Q11" s="1431"/>
      <c r="R11" s="1431"/>
      <c r="S11" s="1431"/>
    </row>
    <row r="12" spans="1:21" ht="63.75" customHeight="1">
      <c r="B12" s="300"/>
      <c r="C12" s="67"/>
      <c r="D12" s="144" t="str">
        <f>IF(E11="SI SE REPORTA","¿Qué programas o proyectos del Plan de Acción están asociados al indicador? ","")</f>
        <v xml:space="preserve">¿Qué programas o proyectos del Plan de Acción están asociados al indicador? </v>
      </c>
      <c r="E12" s="1432" t="s">
        <v>1859</v>
      </c>
      <c r="F12" s="1432"/>
      <c r="G12" s="1432"/>
      <c r="H12" s="1432"/>
      <c r="I12" s="1432"/>
      <c r="J12" s="1432"/>
      <c r="K12" s="1432"/>
      <c r="L12" s="1432"/>
      <c r="M12" s="1432"/>
      <c r="N12" s="1432"/>
      <c r="O12" s="1432"/>
      <c r="P12" s="1432"/>
      <c r="Q12" s="1432"/>
      <c r="R12" s="1432"/>
    </row>
    <row r="13" spans="1:21" ht="21.9" customHeight="1">
      <c r="B13" s="300"/>
      <c r="C13" s="67"/>
      <c r="D13" s="144" t="s">
        <v>1238</v>
      </c>
      <c r="E13" s="1433"/>
      <c r="F13" s="1434"/>
      <c r="G13" s="1434"/>
      <c r="H13" s="1434"/>
      <c r="I13" s="1434"/>
      <c r="J13" s="1434"/>
      <c r="K13" s="1434"/>
      <c r="L13" s="1434"/>
      <c r="M13" s="1434"/>
      <c r="N13" s="1434"/>
      <c r="O13" s="1434"/>
      <c r="P13" s="1434"/>
      <c r="Q13" s="1434"/>
      <c r="R13" s="1435"/>
    </row>
    <row r="14" spans="1:21" ht="6.9" customHeight="1" thickBot="1">
      <c r="B14" s="300"/>
      <c r="D14" s="5"/>
      <c r="E14" s="5"/>
      <c r="F14" s="5"/>
      <c r="G14" s="5"/>
      <c r="H14" s="5"/>
      <c r="I14" s="5"/>
      <c r="J14" s="5"/>
      <c r="K14" s="5"/>
    </row>
    <row r="15" spans="1:21" ht="15" customHeight="1" thickTop="1">
      <c r="B15" s="1561" t="s">
        <v>2</v>
      </c>
      <c r="C15" s="68"/>
      <c r="D15" s="1450" t="s">
        <v>335</v>
      </c>
      <c r="E15" s="1451"/>
      <c r="F15" s="1451"/>
      <c r="G15" s="1451"/>
      <c r="H15" s="1451"/>
      <c r="I15" s="1451"/>
      <c r="J15" s="1451"/>
      <c r="K15" s="1452"/>
    </row>
    <row r="16" spans="1:21" ht="15" thickBot="1">
      <c r="B16" s="1484"/>
      <c r="C16" s="71"/>
      <c r="D16" s="1667" t="s">
        <v>649</v>
      </c>
      <c r="E16" s="1668"/>
      <c r="F16" s="1668"/>
      <c r="G16" s="1668"/>
      <c r="H16" s="1668"/>
      <c r="I16" s="1668"/>
      <c r="J16" s="1668"/>
      <c r="K16" s="1669"/>
    </row>
    <row r="17" spans="2:12" ht="18.75" customHeight="1" thickBot="1">
      <c r="B17" s="1484"/>
      <c r="C17" s="69" t="s">
        <v>18</v>
      </c>
      <c r="D17" s="603" t="s">
        <v>252</v>
      </c>
      <c r="E17" s="603" t="s">
        <v>19</v>
      </c>
      <c r="F17" s="603" t="s">
        <v>20</v>
      </c>
      <c r="G17" s="603" t="s">
        <v>21</v>
      </c>
      <c r="H17" s="603" t="s">
        <v>22</v>
      </c>
      <c r="I17" s="603" t="s">
        <v>253</v>
      </c>
      <c r="K17" s="17"/>
    </row>
    <row r="18" spans="2:12" ht="48.75" customHeight="1" thickBot="1">
      <c r="B18" s="1484"/>
      <c r="C18" s="70" t="s">
        <v>151</v>
      </c>
      <c r="D18" s="32" t="s">
        <v>684</v>
      </c>
      <c r="E18" s="512">
        <v>2</v>
      </c>
      <c r="F18" s="512">
        <v>4</v>
      </c>
      <c r="G18" s="512">
        <v>4</v>
      </c>
      <c r="H18" s="512">
        <v>3</v>
      </c>
      <c r="I18" s="523">
        <f>SUM(E18:H18)</f>
        <v>13</v>
      </c>
      <c r="K18" s="17"/>
    </row>
    <row r="19" spans="2:12" ht="42.75" customHeight="1" thickBot="1">
      <c r="B19" s="1484"/>
      <c r="C19" s="70" t="s">
        <v>153</v>
      </c>
      <c r="D19" s="32" t="s">
        <v>1173</v>
      </c>
      <c r="E19" s="512">
        <v>2</v>
      </c>
      <c r="F19" s="512">
        <v>4</v>
      </c>
      <c r="G19" s="512">
        <v>4</v>
      </c>
      <c r="H19" s="512">
        <v>3</v>
      </c>
      <c r="I19" s="523">
        <f>SUM(E19:H19)</f>
        <v>13</v>
      </c>
      <c r="K19" s="17"/>
    </row>
    <row r="20" spans="2:12" ht="36.6" thickBot="1">
      <c r="B20" s="1484"/>
      <c r="C20" s="70" t="s">
        <v>155</v>
      </c>
      <c r="D20" s="32" t="s">
        <v>1172</v>
      </c>
      <c r="E20" s="120">
        <f>IFERROR(E19/E18,0)</f>
        <v>1</v>
      </c>
      <c r="F20" s="120">
        <f>IFERROR(F19/F18,0)</f>
        <v>1</v>
      </c>
      <c r="G20" s="120">
        <f>IFERROR(G19/G18,0)</f>
        <v>1</v>
      </c>
      <c r="H20" s="120">
        <f>IFERROR(H19/H18,0)</f>
        <v>1</v>
      </c>
      <c r="I20" s="120">
        <f>IFERROR(I19/I18,0)</f>
        <v>1</v>
      </c>
      <c r="K20" s="17"/>
    </row>
    <row r="21" spans="2:12">
      <c r="B21" s="175"/>
      <c r="C21" s="71"/>
      <c r="D21" s="1441"/>
      <c r="E21" s="1442"/>
      <c r="F21" s="1442"/>
      <c r="G21" s="1442"/>
      <c r="H21" s="1442"/>
      <c r="I21" s="1442"/>
      <c r="J21" s="1442"/>
      <c r="K21" s="1443"/>
    </row>
    <row r="22" spans="2:12">
      <c r="B22" s="175"/>
      <c r="C22" s="71"/>
      <c r="D22" s="1667" t="s">
        <v>685</v>
      </c>
      <c r="E22" s="1668"/>
      <c r="F22" s="1668"/>
      <c r="G22" s="1668"/>
      <c r="H22" s="1668"/>
      <c r="I22" s="1668"/>
      <c r="J22" s="1668"/>
      <c r="K22" s="1669"/>
    </row>
    <row r="23" spans="2:12" ht="24" customHeight="1" thickBot="1">
      <c r="B23" s="175"/>
      <c r="C23" s="71"/>
      <c r="D23" s="1683" t="s">
        <v>680</v>
      </c>
      <c r="E23" s="1684"/>
      <c r="F23" s="1684"/>
      <c r="G23" s="1684"/>
      <c r="H23" s="1684"/>
      <c r="I23" s="1684"/>
      <c r="J23" s="1684"/>
      <c r="K23" s="1685"/>
    </row>
    <row r="24" spans="2:12" ht="15" thickBot="1">
      <c r="B24" s="175"/>
      <c r="C24" s="1670" t="s">
        <v>18</v>
      </c>
      <c r="D24" s="1652" t="s">
        <v>269</v>
      </c>
      <c r="E24" s="1652" t="s">
        <v>618</v>
      </c>
      <c r="F24" s="1656" t="s">
        <v>686</v>
      </c>
      <c r="G24" s="1687" t="s">
        <v>687</v>
      </c>
      <c r="H24" s="1688"/>
      <c r="I24" s="1688"/>
      <c r="J24" s="1689"/>
      <c r="K24" s="95"/>
    </row>
    <row r="25" spans="2:12" ht="15" thickBot="1">
      <c r="B25" s="175"/>
      <c r="C25" s="1691"/>
      <c r="D25" s="1692"/>
      <c r="E25" s="1692"/>
      <c r="F25" s="1686"/>
      <c r="G25" s="595" t="s">
        <v>472</v>
      </c>
      <c r="H25" s="1656" t="s">
        <v>689</v>
      </c>
      <c r="I25" s="1656" t="s">
        <v>273</v>
      </c>
      <c r="J25" s="1656" t="s">
        <v>274</v>
      </c>
      <c r="K25" s="8"/>
    </row>
    <row r="26" spans="2:12" ht="15" thickBot="1">
      <c r="B26" s="175"/>
      <c r="C26" s="1671"/>
      <c r="D26" s="1692"/>
      <c r="E26" s="1692"/>
      <c r="F26" s="1686"/>
      <c r="G26" s="595" t="s">
        <v>688</v>
      </c>
      <c r="H26" s="1686"/>
      <c r="I26" s="1686"/>
      <c r="J26" s="1690"/>
      <c r="K26" s="95"/>
    </row>
    <row r="27" spans="2:12" ht="34.5" customHeight="1" thickBot="1">
      <c r="B27" s="175"/>
      <c r="C27" s="597">
        <v>1</v>
      </c>
      <c r="D27" s="713" t="s">
        <v>1852</v>
      </c>
      <c r="E27" s="717" t="s">
        <v>1855</v>
      </c>
      <c r="F27" s="721"/>
      <c r="G27" s="800" t="s">
        <v>1918</v>
      </c>
      <c r="H27" s="801" t="s">
        <v>1918</v>
      </c>
      <c r="I27" s="801" t="s">
        <v>1918</v>
      </c>
      <c r="J27" s="802" t="s">
        <v>1918</v>
      </c>
      <c r="K27" s="599"/>
      <c r="L27" s="170"/>
    </row>
    <row r="28" spans="2:12" ht="36.6" thickBot="1">
      <c r="B28" s="175"/>
      <c r="C28" s="597">
        <v>2</v>
      </c>
      <c r="D28" s="714" t="s">
        <v>1856</v>
      </c>
      <c r="E28" s="718" t="s">
        <v>1857</v>
      </c>
      <c r="F28" s="722">
        <v>1</v>
      </c>
      <c r="G28" s="860">
        <v>175000000</v>
      </c>
      <c r="H28" s="860">
        <v>175000000</v>
      </c>
      <c r="I28" s="860">
        <v>175000000</v>
      </c>
      <c r="J28" s="861">
        <v>12113167</v>
      </c>
      <c r="K28" s="600"/>
      <c r="L28" s="170"/>
    </row>
    <row r="29" spans="2:12" ht="48.6" thickBot="1">
      <c r="B29" s="175"/>
      <c r="C29" s="597">
        <v>3</v>
      </c>
      <c r="D29" s="715" t="s">
        <v>1853</v>
      </c>
      <c r="E29" s="719" t="s">
        <v>1858</v>
      </c>
      <c r="F29" s="722">
        <v>1</v>
      </c>
      <c r="G29" s="862">
        <v>110000000</v>
      </c>
      <c r="H29" s="862">
        <v>110000000</v>
      </c>
      <c r="I29" s="862">
        <v>110000000</v>
      </c>
      <c r="J29" s="863">
        <v>5709364</v>
      </c>
      <c r="K29" s="601"/>
      <c r="L29" s="170"/>
    </row>
    <row r="30" spans="2:12" ht="60.6" thickBot="1">
      <c r="B30" s="175"/>
      <c r="C30" s="597">
        <v>4</v>
      </c>
      <c r="D30" s="716" t="s">
        <v>1854</v>
      </c>
      <c r="E30" s="720" t="s">
        <v>1858</v>
      </c>
      <c r="F30" s="723">
        <v>1</v>
      </c>
      <c r="G30" s="864">
        <v>150000000</v>
      </c>
      <c r="H30" s="864">
        <v>150000000</v>
      </c>
      <c r="I30" s="864">
        <v>150000000</v>
      </c>
      <c r="J30" s="865">
        <v>70785500</v>
      </c>
      <c r="K30" s="602"/>
      <c r="L30" s="170"/>
    </row>
    <row r="31" spans="2:12" ht="33" customHeight="1" thickBot="1">
      <c r="B31" s="175"/>
      <c r="C31" s="25">
        <v>5</v>
      </c>
      <c r="D31" s="596" t="s">
        <v>1961</v>
      </c>
      <c r="E31" s="536" t="s">
        <v>1962</v>
      </c>
      <c r="F31" s="712"/>
      <c r="G31" s="739"/>
      <c r="H31" s="736"/>
      <c r="I31" s="737"/>
      <c r="J31" s="738"/>
      <c r="K31" s="8"/>
      <c r="L31" s="170"/>
    </row>
    <row r="32" spans="2:12" ht="15" thickBot="1">
      <c r="B32" s="175"/>
      <c r="C32" s="25">
        <v>6</v>
      </c>
      <c r="D32" s="531"/>
      <c r="E32" s="532"/>
      <c r="F32" s="531"/>
      <c r="G32" s="533"/>
      <c r="H32" s="533"/>
      <c r="I32" s="533"/>
      <c r="J32" s="598"/>
      <c r="K32" s="8"/>
      <c r="L32" s="170"/>
    </row>
    <row r="33" spans="2:11" ht="23.25" customHeight="1" thickBot="1">
      <c r="B33" s="175"/>
      <c r="C33" s="31"/>
      <c r="D33" s="534" t="s">
        <v>150</v>
      </c>
      <c r="E33" s="534"/>
      <c r="F33" s="535"/>
      <c r="G33" s="866">
        <f>SUM(G27:G32)</f>
        <v>435000000</v>
      </c>
      <c r="H33" s="866">
        <f>SUM(H27:H32)</f>
        <v>435000000</v>
      </c>
      <c r="I33" s="866">
        <f>SUM(I27:I32)</f>
        <v>435000000</v>
      </c>
      <c r="J33" s="867">
        <f>SUM(J27:J32)</f>
        <v>88608031</v>
      </c>
      <c r="K33" s="9"/>
    </row>
    <row r="34" spans="2:11">
      <c r="B34" s="175"/>
      <c r="C34" s="71"/>
      <c r="D34" s="1450" t="s">
        <v>625</v>
      </c>
      <c r="E34" s="1451"/>
      <c r="F34" s="1451"/>
      <c r="G34" s="1451"/>
      <c r="H34" s="1451"/>
      <c r="I34" s="1451"/>
      <c r="J34" s="1451"/>
      <c r="K34" s="1452"/>
    </row>
    <row r="35" spans="2:11" ht="24" customHeight="1" thickBot="1">
      <c r="B35" s="175"/>
      <c r="C35" s="71"/>
      <c r="D35" s="1441" t="s">
        <v>690</v>
      </c>
      <c r="E35" s="1442"/>
      <c r="F35" s="1442"/>
      <c r="G35" s="1442"/>
      <c r="H35" s="1442"/>
      <c r="I35" s="1442"/>
      <c r="J35" s="1442"/>
      <c r="K35" s="1443"/>
    </row>
    <row r="36" spans="2:11" ht="15" thickBot="1">
      <c r="B36" s="175"/>
      <c r="C36" s="1449" t="s">
        <v>18</v>
      </c>
      <c r="D36" s="1693" t="s">
        <v>691</v>
      </c>
      <c r="E36" s="1696" t="s">
        <v>692</v>
      </c>
      <c r="F36" s="1697"/>
      <c r="G36" s="59"/>
      <c r="H36" s="5"/>
      <c r="I36" s="5"/>
      <c r="K36" s="17"/>
    </row>
    <row r="37" spans="2:11">
      <c r="B37" s="175"/>
      <c r="C37" s="1455"/>
      <c r="D37" s="1694"/>
      <c r="E37" s="1459" t="s">
        <v>693</v>
      </c>
      <c r="F37" s="36" t="s">
        <v>694</v>
      </c>
      <c r="G37" s="1459" t="s">
        <v>54</v>
      </c>
      <c r="H37" s="5"/>
      <c r="I37" s="5"/>
      <c r="K37" s="17"/>
    </row>
    <row r="38" spans="2:11" ht="15" thickBot="1">
      <c r="B38" s="175"/>
      <c r="C38" s="1446"/>
      <c r="D38" s="1695"/>
      <c r="E38" s="1461"/>
      <c r="F38" s="414" t="s">
        <v>689</v>
      </c>
      <c r="G38" s="1461"/>
      <c r="H38" s="5"/>
      <c r="I38" s="5"/>
      <c r="K38" s="17"/>
    </row>
    <row r="39" spans="2:11" ht="15" thickBot="1">
      <c r="B39" s="175"/>
      <c r="C39" s="283">
        <v>1</v>
      </c>
      <c r="D39" s="130">
        <v>0</v>
      </c>
      <c r="E39" s="117">
        <f>IFERROR(I27/H27,0)</f>
        <v>0</v>
      </c>
      <c r="F39" s="117">
        <f>IFERROR(J27/I27,0)</f>
        <v>0</v>
      </c>
      <c r="G39" s="282"/>
      <c r="H39" s="5"/>
      <c r="I39" s="5"/>
      <c r="K39" s="17"/>
    </row>
    <row r="40" spans="2:11" ht="15" thickBot="1">
      <c r="B40" s="175"/>
      <c r="C40" s="283">
        <v>2</v>
      </c>
      <c r="D40" s="130">
        <v>0.35</v>
      </c>
      <c r="E40" s="117">
        <f>IFERROR(I28/H28,0)</f>
        <v>1</v>
      </c>
      <c r="F40" s="117">
        <f t="shared" ref="F40:F45" si="0">IFERROR(J28/I28,0)</f>
        <v>6.9218097142857149E-2</v>
      </c>
      <c r="G40" s="282"/>
      <c r="H40" s="5"/>
      <c r="I40" s="5"/>
      <c r="K40" s="17"/>
    </row>
    <row r="41" spans="2:11" ht="15" thickBot="1">
      <c r="B41" s="175"/>
      <c r="C41" s="283">
        <v>3</v>
      </c>
      <c r="D41" s="130">
        <v>0.35</v>
      </c>
      <c r="E41" s="117">
        <f>IFERROR(I29/H29,0)</f>
        <v>1</v>
      </c>
      <c r="F41" s="117">
        <f t="shared" si="0"/>
        <v>5.1903309090909087E-2</v>
      </c>
      <c r="G41" s="282"/>
      <c r="H41" s="5"/>
      <c r="I41" s="5"/>
      <c r="K41" s="17"/>
    </row>
    <row r="42" spans="2:11" ht="15" thickBot="1">
      <c r="B42" s="175"/>
      <c r="C42" s="283">
        <v>4</v>
      </c>
      <c r="D42" s="130">
        <v>0.3</v>
      </c>
      <c r="E42" s="117">
        <f>IFERROR(I30/H30,0)</f>
        <v>1</v>
      </c>
      <c r="F42" s="117">
        <f t="shared" si="0"/>
        <v>0.47190333333333334</v>
      </c>
      <c r="G42" s="282"/>
      <c r="H42" s="5"/>
      <c r="I42" s="5"/>
      <c r="K42" s="17"/>
    </row>
    <row r="43" spans="2:11" ht="15" thickBot="1">
      <c r="B43" s="175"/>
      <c r="C43" s="283">
        <v>5</v>
      </c>
      <c r="D43" s="130"/>
      <c r="E43" s="117">
        <f>IFERROR(I31/H31,0)</f>
        <v>0</v>
      </c>
      <c r="F43" s="117">
        <f t="shared" si="0"/>
        <v>0</v>
      </c>
      <c r="G43" s="282"/>
      <c r="H43" s="5"/>
      <c r="I43" s="5"/>
      <c r="K43" s="17"/>
    </row>
    <row r="44" spans="2:11" ht="15" thickBot="1">
      <c r="B44" s="175"/>
      <c r="C44" s="283">
        <v>6</v>
      </c>
      <c r="D44" s="130"/>
      <c r="E44" s="117">
        <f>IFERROR(I32/H32,0)</f>
        <v>0</v>
      </c>
      <c r="F44" s="117">
        <f t="shared" si="0"/>
        <v>0</v>
      </c>
      <c r="G44" s="282"/>
      <c r="H44" s="5"/>
      <c r="I44" s="5"/>
      <c r="K44" s="17"/>
    </row>
    <row r="45" spans="2:11" ht="15" thickBot="1">
      <c r="B45" s="37"/>
      <c r="C45" s="58"/>
      <c r="D45" s="131">
        <f>Formulas!$D$22</f>
        <v>1</v>
      </c>
      <c r="E45" s="118">
        <f>+$D39*E39+$D40*E40+$D41*E41+$D42*E42+$D43*E43+$D44*E44</f>
        <v>1</v>
      </c>
      <c r="F45" s="117">
        <f t="shared" si="0"/>
        <v>0.20369662298850574</v>
      </c>
      <c r="G45" s="32"/>
      <c r="H45" s="18"/>
      <c r="I45" s="18"/>
      <c r="J45" s="18"/>
      <c r="K45" s="19"/>
    </row>
    <row r="46" spans="2:11" ht="15" thickBot="1">
      <c r="B46" s="29"/>
      <c r="C46" s="67"/>
      <c r="D46" s="5"/>
      <c r="E46" s="5"/>
      <c r="F46" s="5"/>
      <c r="G46" s="5"/>
      <c r="H46" s="5"/>
      <c r="I46" s="5"/>
      <c r="J46" s="5"/>
      <c r="K46" s="5"/>
    </row>
    <row r="47" spans="2:11" ht="72.599999999999994" thickBot="1">
      <c r="B47" s="42" t="s">
        <v>33</v>
      </c>
      <c r="C47" s="77"/>
      <c r="D47" s="34" t="s">
        <v>695</v>
      </c>
      <c r="E47" s="5"/>
      <c r="F47" s="5"/>
      <c r="G47" s="5"/>
      <c r="H47" s="5"/>
      <c r="I47" s="5"/>
      <c r="J47" s="5"/>
      <c r="K47" s="5"/>
    </row>
    <row r="48" spans="2:11" ht="60.6" thickBot="1">
      <c r="B48" s="37" t="s">
        <v>35</v>
      </c>
      <c r="C48" s="2"/>
      <c r="D48" s="32" t="s">
        <v>345</v>
      </c>
      <c r="E48" s="5"/>
      <c r="F48" s="5"/>
      <c r="G48" s="5"/>
      <c r="H48" s="5"/>
      <c r="I48" s="5"/>
      <c r="J48" s="5"/>
      <c r="K48" s="5"/>
    </row>
    <row r="49" spans="2:11" ht="15" thickBot="1">
      <c r="B49" s="1"/>
      <c r="C49" s="64"/>
      <c r="D49" s="5"/>
      <c r="E49" s="5"/>
      <c r="F49" s="5"/>
      <c r="G49" s="5"/>
      <c r="H49" s="5"/>
      <c r="I49" s="5"/>
      <c r="J49" s="5"/>
      <c r="K49" s="5"/>
    </row>
    <row r="50" spans="2:11" ht="24" customHeight="1" thickBot="1">
      <c r="B50" s="1469" t="s">
        <v>37</v>
      </c>
      <c r="C50" s="1470"/>
      <c r="D50" s="1470"/>
      <c r="E50" s="1471"/>
      <c r="F50" s="5"/>
      <c r="G50" s="5"/>
      <c r="H50" s="5"/>
      <c r="I50" s="5"/>
      <c r="J50" s="5"/>
      <c r="K50" s="5"/>
    </row>
    <row r="51" spans="2:11" ht="15" thickBot="1">
      <c r="B51" s="1459">
        <v>1</v>
      </c>
      <c r="C51" s="73"/>
      <c r="D51" s="38" t="s">
        <v>38</v>
      </c>
      <c r="E51" s="25" t="s">
        <v>1814</v>
      </c>
      <c r="F51" s="5"/>
      <c r="G51" s="5"/>
      <c r="H51" s="5"/>
      <c r="I51" s="5"/>
      <c r="J51" s="5"/>
      <c r="K51" s="5"/>
    </row>
    <row r="52" spans="2:11" ht="24.6" thickBot="1">
      <c r="B52" s="1460"/>
      <c r="C52" s="73"/>
      <c r="D52" s="32" t="s">
        <v>39</v>
      </c>
      <c r="E52" s="24" t="s">
        <v>1824</v>
      </c>
      <c r="F52" s="5"/>
      <c r="G52" s="5"/>
      <c r="H52" s="5"/>
      <c r="I52" s="5"/>
      <c r="J52" s="5"/>
      <c r="K52" s="5"/>
    </row>
    <row r="53" spans="2:11" ht="15" thickBot="1">
      <c r="B53" s="1460"/>
      <c r="C53" s="73"/>
      <c r="D53" s="32" t="s">
        <v>40</v>
      </c>
      <c r="E53" s="24" t="s">
        <v>2057</v>
      </c>
      <c r="F53" s="5"/>
      <c r="G53" s="5"/>
      <c r="H53" s="5"/>
      <c r="I53" s="5"/>
      <c r="J53" s="5"/>
      <c r="K53" s="5"/>
    </row>
    <row r="54" spans="2:11" ht="15" thickBot="1">
      <c r="B54" s="1460"/>
      <c r="C54" s="73"/>
      <c r="D54" s="32" t="s">
        <v>41</v>
      </c>
      <c r="E54" s="24" t="s">
        <v>2050</v>
      </c>
      <c r="F54" s="5"/>
      <c r="G54" s="5"/>
      <c r="H54" s="5"/>
      <c r="I54" s="5"/>
      <c r="J54" s="5"/>
      <c r="K54" s="5"/>
    </row>
    <row r="55" spans="2:11" ht="29.4" thickBot="1">
      <c r="B55" s="1460"/>
      <c r="C55" s="73"/>
      <c r="D55" s="32" t="s">
        <v>42</v>
      </c>
      <c r="E55" s="507" t="s">
        <v>1825</v>
      </c>
      <c r="F55" s="5"/>
      <c r="G55" s="5"/>
      <c r="H55" s="5"/>
      <c r="I55" s="5"/>
      <c r="J55" s="5"/>
      <c r="K55" s="5"/>
    </row>
    <row r="56" spans="2:11" ht="15" thickBot="1">
      <c r="B56" s="1460"/>
      <c r="C56" s="73"/>
      <c r="D56" s="32" t="s">
        <v>43</v>
      </c>
      <c r="E56" s="24" t="s">
        <v>1826</v>
      </c>
      <c r="F56" s="5"/>
      <c r="G56" s="5"/>
      <c r="H56" s="5"/>
      <c r="I56" s="5"/>
      <c r="J56" s="5"/>
      <c r="K56" s="5"/>
    </row>
    <row r="57" spans="2:11" ht="15" thickBot="1">
      <c r="B57" s="1461"/>
      <c r="C57" s="2"/>
      <c r="D57" s="32" t="s">
        <v>44</v>
      </c>
      <c r="E57" s="24" t="s">
        <v>1817</v>
      </c>
      <c r="F57" s="5"/>
      <c r="G57" s="5"/>
      <c r="H57" s="5"/>
      <c r="I57" s="5"/>
      <c r="J57" s="5"/>
      <c r="K57" s="5"/>
    </row>
    <row r="58" spans="2:11" ht="15" thickBot="1">
      <c r="B58" s="1"/>
      <c r="C58" s="64"/>
      <c r="D58" s="5"/>
      <c r="E58" s="5"/>
      <c r="F58" s="5"/>
      <c r="G58" s="5"/>
      <c r="H58" s="5"/>
      <c r="I58" s="5"/>
      <c r="J58" s="5"/>
      <c r="K58" s="5"/>
    </row>
    <row r="59" spans="2:11" ht="15" thickBot="1">
      <c r="B59" s="1469" t="s">
        <v>45</v>
      </c>
      <c r="C59" s="1470"/>
      <c r="D59" s="1470"/>
      <c r="E59" s="1471"/>
      <c r="F59" s="5"/>
      <c r="G59" s="5"/>
      <c r="H59" s="5"/>
      <c r="I59" s="5"/>
      <c r="J59" s="5"/>
      <c r="K59" s="5"/>
    </row>
    <row r="60" spans="2:11" ht="15" thickBot="1">
      <c r="B60" s="1459">
        <v>1</v>
      </c>
      <c r="C60" s="73"/>
      <c r="D60" s="38" t="s">
        <v>38</v>
      </c>
      <c r="E60" s="104" t="s">
        <v>46</v>
      </c>
      <c r="F60" s="5"/>
      <c r="G60" s="5"/>
      <c r="H60" s="5"/>
      <c r="I60" s="5"/>
      <c r="J60" s="5"/>
      <c r="K60" s="5"/>
    </row>
    <row r="61" spans="2:11" ht="15" thickBot="1">
      <c r="B61" s="1460"/>
      <c r="C61" s="73"/>
      <c r="D61" s="32" t="s">
        <v>39</v>
      </c>
      <c r="E61" s="104" t="s">
        <v>47</v>
      </c>
      <c r="F61" s="5"/>
      <c r="G61" s="5"/>
      <c r="H61" s="5"/>
      <c r="I61" s="5"/>
      <c r="J61" s="5"/>
      <c r="K61" s="5"/>
    </row>
    <row r="62" spans="2:11" ht="15" thickBot="1">
      <c r="B62" s="1460"/>
      <c r="C62" s="73"/>
      <c r="D62" s="32" t="s">
        <v>40</v>
      </c>
      <c r="E62" s="139"/>
      <c r="F62" s="5"/>
      <c r="G62" s="5"/>
      <c r="H62" s="5"/>
      <c r="I62" s="5"/>
      <c r="J62" s="5"/>
      <c r="K62" s="5"/>
    </row>
    <row r="63" spans="2:11" ht="15" thickBot="1">
      <c r="B63" s="1460"/>
      <c r="C63" s="73"/>
      <c r="D63" s="32" t="s">
        <v>41</v>
      </c>
      <c r="E63" s="139"/>
      <c r="F63" s="5"/>
      <c r="G63" s="5"/>
      <c r="H63" s="5"/>
      <c r="I63" s="5"/>
      <c r="J63" s="5"/>
      <c r="K63" s="5"/>
    </row>
    <row r="64" spans="2:11" ht="15" thickBot="1">
      <c r="B64" s="1460"/>
      <c r="C64" s="73"/>
      <c r="D64" s="32" t="s">
        <v>42</v>
      </c>
      <c r="E64" s="139"/>
      <c r="F64" s="5"/>
      <c r="G64" s="5"/>
      <c r="H64" s="5"/>
      <c r="I64" s="5"/>
      <c r="J64" s="5"/>
      <c r="K64" s="5"/>
    </row>
    <row r="65" spans="2:11" ht="15" thickBot="1">
      <c r="B65" s="1460"/>
      <c r="C65" s="73"/>
      <c r="D65" s="32" t="s">
        <v>43</v>
      </c>
      <c r="E65" s="139"/>
      <c r="F65" s="5"/>
      <c r="G65" s="5"/>
      <c r="H65" s="5"/>
      <c r="I65" s="5"/>
      <c r="J65" s="5"/>
      <c r="K65" s="5"/>
    </row>
    <row r="66" spans="2:11" ht="15" thickBot="1">
      <c r="B66" s="1461"/>
      <c r="C66" s="2"/>
      <c r="D66" s="32" t="s">
        <v>44</v>
      </c>
      <c r="E66" s="139"/>
      <c r="F66" s="5"/>
      <c r="G66" s="5"/>
      <c r="H66" s="5"/>
      <c r="I66" s="5"/>
      <c r="J66" s="5"/>
      <c r="K66" s="5"/>
    </row>
    <row r="67" spans="2:11" ht="15" thickBot="1">
      <c r="B67" s="1"/>
      <c r="C67" s="64"/>
      <c r="D67" s="5"/>
      <c r="E67" s="5"/>
      <c r="F67" s="5"/>
      <c r="G67" s="5"/>
      <c r="H67" s="5"/>
      <c r="I67" s="5"/>
      <c r="J67" s="5"/>
      <c r="K67" s="5"/>
    </row>
    <row r="68" spans="2:11" ht="15" thickBot="1">
      <c r="B68" s="1469" t="s">
        <v>48</v>
      </c>
      <c r="C68" s="1470"/>
      <c r="D68" s="1470"/>
      <c r="E68" s="1470"/>
      <c r="F68" s="1471"/>
      <c r="G68" s="5"/>
      <c r="H68" s="5"/>
      <c r="I68" s="5"/>
      <c r="J68" s="5"/>
      <c r="K68" s="5"/>
    </row>
    <row r="69" spans="2:11" ht="24.6" thickBot="1">
      <c r="B69" s="37" t="s">
        <v>49</v>
      </c>
      <c r="C69" s="32" t="s">
        <v>50</v>
      </c>
      <c r="D69" s="32" t="s">
        <v>51</v>
      </c>
      <c r="E69" s="32" t="s">
        <v>52</v>
      </c>
      <c r="F69" s="5"/>
      <c r="G69" s="5"/>
      <c r="H69" s="5"/>
      <c r="I69" s="5"/>
      <c r="J69" s="5"/>
    </row>
    <row r="70" spans="2:11" ht="72.599999999999994" thickBot="1">
      <c r="B70" s="39">
        <v>42401</v>
      </c>
      <c r="C70" s="32">
        <v>0.01</v>
      </c>
      <c r="D70" s="40" t="s">
        <v>696</v>
      </c>
      <c r="E70" s="32"/>
      <c r="F70" s="5"/>
      <c r="G70" s="5"/>
      <c r="H70" s="5"/>
      <c r="I70" s="5"/>
      <c r="J70" s="5"/>
    </row>
    <row r="71" spans="2:11" ht="15" thickBot="1">
      <c r="B71" s="3"/>
      <c r="C71" s="74"/>
      <c r="D71" s="5"/>
      <c r="E71" s="5"/>
      <c r="F71" s="5"/>
      <c r="G71" s="5"/>
      <c r="H71" s="5"/>
      <c r="I71" s="5"/>
      <c r="J71" s="5"/>
      <c r="K71" s="5"/>
    </row>
    <row r="72" spans="2:11">
      <c r="B72" s="106" t="s">
        <v>54</v>
      </c>
      <c r="C72" s="75"/>
      <c r="D72" s="5"/>
      <c r="E72" s="5"/>
      <c r="F72" s="5"/>
      <c r="G72" s="5"/>
      <c r="H72" s="5"/>
      <c r="I72" s="5"/>
      <c r="J72" s="5"/>
      <c r="K72" s="5"/>
    </row>
    <row r="73" spans="2:11">
      <c r="B73" s="1677"/>
      <c r="C73" s="1678"/>
      <c r="D73" s="1678"/>
      <c r="E73" s="1678"/>
      <c r="F73" s="1679"/>
      <c r="G73" s="5"/>
      <c r="H73" s="5"/>
      <c r="I73" s="5"/>
      <c r="J73" s="5"/>
      <c r="K73" s="5"/>
    </row>
    <row r="74" spans="2:11">
      <c r="B74" s="1680"/>
      <c r="C74" s="1681"/>
      <c r="D74" s="1681"/>
      <c r="E74" s="1681"/>
      <c r="F74" s="1682"/>
      <c r="G74" s="5"/>
      <c r="H74" s="5"/>
      <c r="I74" s="5"/>
      <c r="J74" s="5"/>
      <c r="K74" s="5"/>
    </row>
    <row r="75" spans="2:11">
      <c r="B75" s="1"/>
      <c r="C75" s="64"/>
      <c r="D75" s="5"/>
      <c r="E75" s="5"/>
      <c r="F75" s="5"/>
      <c r="G75" s="5"/>
      <c r="H75" s="5"/>
      <c r="I75" s="5"/>
      <c r="J75" s="5"/>
      <c r="K75" s="5"/>
    </row>
    <row r="76" spans="2:11" ht="15" thickBot="1">
      <c r="B76" s="5"/>
      <c r="D76" s="5"/>
      <c r="E76" s="5"/>
      <c r="F76" s="5"/>
      <c r="G76" s="5"/>
      <c r="H76" s="5"/>
      <c r="I76" s="5"/>
      <c r="J76" s="5"/>
      <c r="K76" s="5"/>
    </row>
    <row r="77" spans="2:11" ht="24.6" thickBot="1">
      <c r="B77" s="41" t="s">
        <v>55</v>
      </c>
      <c r="C77" s="76"/>
      <c r="D77" s="5"/>
      <c r="E77" s="5"/>
      <c r="F77" s="5"/>
      <c r="G77" s="5"/>
      <c r="H77" s="5"/>
      <c r="I77" s="5"/>
      <c r="J77" s="5"/>
      <c r="K77" s="5"/>
    </row>
    <row r="78" spans="2:11" ht="15" thickBot="1">
      <c r="B78" s="29"/>
      <c r="C78" s="67"/>
      <c r="D78" s="5"/>
      <c r="E78" s="5"/>
      <c r="F78" s="5"/>
      <c r="G78" s="5"/>
      <c r="H78" s="5"/>
      <c r="I78" s="5"/>
      <c r="J78" s="5"/>
      <c r="K78" s="5"/>
    </row>
    <row r="79" spans="2:11" ht="72.599999999999994" thickBot="1">
      <c r="B79" s="42" t="s">
        <v>56</v>
      </c>
      <c r="C79" s="77"/>
      <c r="D79" s="34" t="s">
        <v>650</v>
      </c>
      <c r="E79" s="5"/>
      <c r="F79" s="5"/>
      <c r="G79" s="5"/>
      <c r="H79" s="5"/>
      <c r="I79" s="5"/>
      <c r="J79" s="5"/>
      <c r="K79" s="5"/>
    </row>
    <row r="80" spans="2:11">
      <c r="B80" s="1459" t="s">
        <v>58</v>
      </c>
      <c r="C80" s="73"/>
      <c r="D80" s="43" t="s">
        <v>59</v>
      </c>
      <c r="E80" s="5"/>
      <c r="F80" s="5"/>
      <c r="G80" s="5"/>
      <c r="H80" s="5"/>
      <c r="I80" s="5"/>
      <c r="J80" s="5"/>
      <c r="K80" s="5"/>
    </row>
    <row r="81" spans="2:11" ht="108">
      <c r="B81" s="1460"/>
      <c r="C81" s="73"/>
      <c r="D81" s="36" t="s">
        <v>651</v>
      </c>
      <c r="E81" s="5"/>
      <c r="F81" s="5"/>
      <c r="G81" s="5"/>
      <c r="H81" s="5"/>
      <c r="I81" s="5"/>
      <c r="J81" s="5"/>
      <c r="K81" s="5"/>
    </row>
    <row r="82" spans="2:11">
      <c r="B82" s="1460"/>
      <c r="C82" s="73"/>
      <c r="D82" s="43" t="s">
        <v>62</v>
      </c>
      <c r="E82" s="5"/>
      <c r="F82" s="5"/>
      <c r="G82" s="5"/>
      <c r="H82" s="5"/>
      <c r="I82" s="5"/>
      <c r="J82" s="5"/>
      <c r="K82" s="5"/>
    </row>
    <row r="83" spans="2:11">
      <c r="B83" s="1460"/>
      <c r="C83" s="73"/>
      <c r="D83" s="36" t="s">
        <v>652</v>
      </c>
      <c r="E83" s="5"/>
      <c r="F83" s="5"/>
      <c r="G83" s="5"/>
      <c r="H83" s="5"/>
      <c r="I83" s="5"/>
      <c r="J83" s="5"/>
      <c r="K83" s="5"/>
    </row>
    <row r="84" spans="2:11">
      <c r="B84" s="1460"/>
      <c r="C84" s="73"/>
      <c r="D84" s="36" t="s">
        <v>653</v>
      </c>
      <c r="E84" s="5"/>
      <c r="F84" s="5"/>
      <c r="G84" s="5"/>
      <c r="H84" s="5"/>
      <c r="I84" s="5"/>
      <c r="J84" s="5"/>
      <c r="K84" s="5"/>
    </row>
    <row r="85" spans="2:11">
      <c r="B85" s="1460"/>
      <c r="C85" s="73"/>
      <c r="D85" s="43" t="s">
        <v>287</v>
      </c>
      <c r="E85" s="5"/>
      <c r="F85" s="5"/>
      <c r="G85" s="5"/>
      <c r="H85" s="5"/>
      <c r="I85" s="5"/>
      <c r="J85" s="5"/>
      <c r="K85" s="5"/>
    </row>
    <row r="86" spans="2:11" ht="24">
      <c r="B86" s="1460"/>
      <c r="C86" s="73"/>
      <c r="D86" s="36" t="s">
        <v>654</v>
      </c>
      <c r="E86" s="5"/>
      <c r="F86" s="5"/>
      <c r="G86" s="5"/>
      <c r="H86" s="5"/>
      <c r="I86" s="5"/>
      <c r="J86" s="5"/>
      <c r="K86" s="5"/>
    </row>
    <row r="87" spans="2:11" ht="15" thickBot="1">
      <c r="B87" s="1461"/>
      <c r="C87" s="2"/>
      <c r="D87" s="32" t="s">
        <v>655</v>
      </c>
      <c r="E87" s="5"/>
      <c r="F87" s="5"/>
      <c r="G87" s="5"/>
      <c r="H87" s="5"/>
      <c r="I87" s="5"/>
      <c r="J87" s="5"/>
      <c r="K87" s="5"/>
    </row>
    <row r="88" spans="2:11" ht="24.6" thickBot="1">
      <c r="B88" s="37" t="s">
        <v>71</v>
      </c>
      <c r="C88" s="2"/>
      <c r="D88" s="32"/>
      <c r="E88" s="5"/>
      <c r="F88" s="5"/>
      <c r="G88" s="5"/>
      <c r="H88" s="5"/>
      <c r="I88" s="5"/>
      <c r="J88" s="5"/>
      <c r="K88" s="5"/>
    </row>
    <row r="89" spans="2:11" ht="96">
      <c r="B89" s="1459" t="s">
        <v>72</v>
      </c>
      <c r="C89" s="73"/>
      <c r="D89" s="36" t="s">
        <v>656</v>
      </c>
      <c r="E89" s="5"/>
      <c r="F89" s="5"/>
      <c r="G89" s="5"/>
      <c r="H89" s="5"/>
      <c r="I89" s="5"/>
      <c r="J89" s="5"/>
      <c r="K89" s="5"/>
    </row>
    <row r="90" spans="2:11">
      <c r="B90" s="1460"/>
      <c r="C90" s="73"/>
      <c r="D90" s="36" t="s">
        <v>657</v>
      </c>
      <c r="E90" s="5"/>
      <c r="F90" s="5"/>
      <c r="G90" s="5"/>
      <c r="H90" s="5"/>
      <c r="I90" s="5"/>
      <c r="J90" s="5"/>
      <c r="K90" s="5"/>
    </row>
    <row r="91" spans="2:11" ht="84">
      <c r="B91" s="1460"/>
      <c r="C91" s="73"/>
      <c r="D91" s="36" t="s">
        <v>658</v>
      </c>
      <c r="E91" s="5"/>
      <c r="F91" s="5"/>
      <c r="G91" s="5"/>
      <c r="H91" s="5"/>
      <c r="I91" s="5"/>
      <c r="J91" s="5"/>
      <c r="K91" s="5"/>
    </row>
    <row r="92" spans="2:11" ht="84">
      <c r="B92" s="1460"/>
      <c r="C92" s="73"/>
      <c r="D92" s="36" t="s">
        <v>659</v>
      </c>
      <c r="E92" s="5"/>
      <c r="F92" s="5"/>
      <c r="G92" s="5"/>
      <c r="H92" s="5"/>
      <c r="I92" s="5"/>
      <c r="J92" s="5"/>
      <c r="K92" s="5"/>
    </row>
    <row r="93" spans="2:11" ht="96">
      <c r="B93" s="1460"/>
      <c r="C93" s="73"/>
      <c r="D93" s="36" t="s">
        <v>660</v>
      </c>
      <c r="E93" s="5"/>
      <c r="F93" s="5"/>
      <c r="G93" s="5"/>
      <c r="H93" s="5"/>
      <c r="I93" s="5"/>
      <c r="J93" s="5"/>
      <c r="K93" s="5"/>
    </row>
    <row r="94" spans="2:11" ht="72">
      <c r="B94" s="1460"/>
      <c r="C94" s="73"/>
      <c r="D94" s="36" t="s">
        <v>661</v>
      </c>
      <c r="E94" s="5"/>
      <c r="F94" s="5"/>
      <c r="G94" s="5"/>
      <c r="H94" s="5"/>
      <c r="I94" s="5"/>
      <c r="J94" s="5"/>
      <c r="K94" s="5"/>
    </row>
    <row r="95" spans="2:11" ht="72">
      <c r="B95" s="1460"/>
      <c r="C95" s="73"/>
      <c r="D95" s="36" t="s">
        <v>662</v>
      </c>
      <c r="E95" s="5"/>
      <c r="F95" s="5"/>
      <c r="G95" s="5"/>
      <c r="H95" s="5"/>
      <c r="I95" s="5"/>
      <c r="J95" s="5"/>
      <c r="K95" s="5"/>
    </row>
    <row r="96" spans="2:11" ht="192">
      <c r="B96" s="1460"/>
      <c r="C96" s="73"/>
      <c r="D96" s="36" t="s">
        <v>663</v>
      </c>
      <c r="E96" s="5"/>
      <c r="F96" s="5"/>
      <c r="G96" s="5"/>
      <c r="H96" s="5"/>
      <c r="I96" s="5"/>
      <c r="J96" s="5"/>
      <c r="K96" s="5"/>
    </row>
    <row r="97" spans="2:11" ht="156">
      <c r="B97" s="1460"/>
      <c r="C97" s="73"/>
      <c r="D97" s="36" t="s">
        <v>664</v>
      </c>
      <c r="E97" s="5"/>
      <c r="F97" s="5"/>
      <c r="G97" s="5"/>
      <c r="H97" s="5"/>
      <c r="I97" s="5"/>
      <c r="J97" s="5"/>
      <c r="K97" s="5"/>
    </row>
    <row r="98" spans="2:11" ht="24">
      <c r="B98" s="1460"/>
      <c r="C98" s="73"/>
      <c r="D98" s="36" t="s">
        <v>665</v>
      </c>
      <c r="E98" s="5"/>
      <c r="F98" s="5"/>
      <c r="G98" s="5"/>
      <c r="H98" s="5"/>
      <c r="I98" s="5"/>
      <c r="J98" s="5"/>
      <c r="K98" s="5"/>
    </row>
    <row r="99" spans="2:11" ht="24">
      <c r="B99" s="1460"/>
      <c r="C99" s="73"/>
      <c r="D99" s="21" t="s">
        <v>666</v>
      </c>
      <c r="E99" s="5"/>
      <c r="F99" s="5"/>
      <c r="G99" s="5"/>
      <c r="H99" s="5"/>
      <c r="I99" s="5"/>
      <c r="J99" s="5"/>
      <c r="K99" s="5"/>
    </row>
    <row r="100" spans="2:11" ht="36">
      <c r="B100" s="1460"/>
      <c r="C100" s="73"/>
      <c r="D100" s="21" t="s">
        <v>667</v>
      </c>
      <c r="E100" s="5"/>
      <c r="F100" s="5"/>
      <c r="G100" s="5"/>
      <c r="H100" s="5"/>
      <c r="I100" s="5"/>
      <c r="J100" s="5"/>
      <c r="K100" s="5"/>
    </row>
    <row r="101" spans="2:11" ht="36">
      <c r="B101" s="1460"/>
      <c r="C101" s="73"/>
      <c r="D101" s="21" t="s">
        <v>668</v>
      </c>
      <c r="E101" s="5"/>
      <c r="F101" s="5"/>
      <c r="G101" s="5"/>
      <c r="H101" s="5"/>
      <c r="I101" s="5"/>
      <c r="J101" s="5"/>
      <c r="K101" s="5"/>
    </row>
    <row r="102" spans="2:11" ht="120">
      <c r="B102" s="1460"/>
      <c r="C102" s="73"/>
      <c r="D102" s="36" t="s">
        <v>669</v>
      </c>
      <c r="E102" s="5"/>
      <c r="F102" s="5"/>
      <c r="G102" s="5"/>
      <c r="H102" s="5"/>
      <c r="I102" s="5"/>
      <c r="J102" s="5"/>
      <c r="K102" s="5"/>
    </row>
    <row r="103" spans="2:11" ht="60">
      <c r="B103" s="1460"/>
      <c r="C103" s="73"/>
      <c r="D103" s="36" t="s">
        <v>670</v>
      </c>
      <c r="E103" s="5"/>
      <c r="F103" s="5"/>
      <c r="G103" s="5"/>
      <c r="H103" s="5"/>
      <c r="I103" s="5"/>
      <c r="J103" s="5"/>
      <c r="K103" s="5"/>
    </row>
    <row r="104" spans="2:11" ht="24">
      <c r="B104" s="1460"/>
      <c r="C104" s="73"/>
      <c r="D104" s="36" t="s">
        <v>671</v>
      </c>
      <c r="E104" s="5"/>
      <c r="F104" s="5"/>
      <c r="G104" s="5"/>
      <c r="H104" s="5"/>
      <c r="I104" s="5"/>
      <c r="J104" s="5"/>
      <c r="K104" s="5"/>
    </row>
    <row r="105" spans="2:11" ht="48">
      <c r="B105" s="1460"/>
      <c r="C105" s="73"/>
      <c r="D105" s="51" t="s">
        <v>672</v>
      </c>
      <c r="E105" s="5"/>
      <c r="F105" s="5"/>
      <c r="G105" s="5"/>
      <c r="H105" s="5"/>
      <c r="I105" s="5"/>
      <c r="J105" s="5"/>
      <c r="K105" s="5"/>
    </row>
    <row r="106" spans="2:11" ht="24">
      <c r="B106" s="1460"/>
      <c r="C106" s="73"/>
      <c r="D106" s="51" t="s">
        <v>673</v>
      </c>
      <c r="E106" s="5"/>
      <c r="F106" s="5"/>
      <c r="G106" s="5"/>
      <c r="H106" s="5"/>
      <c r="I106" s="5"/>
      <c r="J106" s="5"/>
      <c r="K106" s="5"/>
    </row>
    <row r="107" spans="2:11" ht="24">
      <c r="B107" s="1460"/>
      <c r="C107" s="73"/>
      <c r="D107" s="51" t="s">
        <v>674</v>
      </c>
      <c r="E107" s="5"/>
      <c r="F107" s="5"/>
      <c r="G107" s="5"/>
      <c r="H107" s="5"/>
      <c r="I107" s="5"/>
      <c r="J107" s="5"/>
      <c r="K107" s="5"/>
    </row>
    <row r="108" spans="2:11" ht="24.6" thickBot="1">
      <c r="B108" s="1461"/>
      <c r="C108" s="2"/>
      <c r="D108" s="52" t="s">
        <v>675</v>
      </c>
      <c r="E108" s="5"/>
      <c r="F108" s="5"/>
      <c r="G108" s="5"/>
      <c r="H108" s="5"/>
      <c r="I108" s="5"/>
      <c r="J108" s="5"/>
      <c r="K108" s="5"/>
    </row>
    <row r="109" spans="2:11" ht="36">
      <c r="B109" s="1459" t="s">
        <v>89</v>
      </c>
      <c r="C109" s="73"/>
      <c r="D109" s="43" t="s">
        <v>676</v>
      </c>
      <c r="E109" s="5"/>
      <c r="F109" s="5"/>
      <c r="G109" s="5"/>
      <c r="H109" s="5"/>
      <c r="I109" s="5"/>
      <c r="J109" s="5"/>
      <c r="K109" s="5"/>
    </row>
    <row r="110" spans="2:11">
      <c r="B110" s="1460"/>
      <c r="C110" s="73"/>
      <c r="D110" s="13"/>
      <c r="E110" s="5"/>
      <c r="F110" s="5"/>
      <c r="G110" s="5"/>
      <c r="H110" s="5"/>
      <c r="I110" s="5"/>
      <c r="J110" s="5"/>
      <c r="K110" s="5"/>
    </row>
    <row r="111" spans="2:11">
      <c r="B111" s="1460"/>
      <c r="C111" s="73"/>
      <c r="D111" s="36" t="s">
        <v>90</v>
      </c>
      <c r="E111" s="5"/>
      <c r="F111" s="5"/>
      <c r="G111" s="5"/>
      <c r="H111" s="5"/>
      <c r="I111" s="5"/>
      <c r="J111" s="5"/>
      <c r="K111" s="5"/>
    </row>
    <row r="112" spans="2:11" ht="38.4">
      <c r="B112" s="1460"/>
      <c r="C112" s="73"/>
      <c r="D112" s="36" t="s">
        <v>677</v>
      </c>
      <c r="E112" s="5"/>
      <c r="F112" s="5"/>
      <c r="G112" s="5"/>
      <c r="H112" s="5"/>
      <c r="I112" s="5"/>
      <c r="J112" s="5"/>
      <c r="K112" s="5"/>
    </row>
    <row r="113" spans="2:11" ht="26.4">
      <c r="B113" s="1460"/>
      <c r="C113" s="73"/>
      <c r="D113" s="36" t="s">
        <v>678</v>
      </c>
      <c r="E113" s="5"/>
      <c r="F113" s="5"/>
      <c r="G113" s="5"/>
      <c r="H113" s="5"/>
      <c r="I113" s="5"/>
      <c r="J113" s="5"/>
      <c r="K113" s="5"/>
    </row>
    <row r="114" spans="2:11" ht="38.4">
      <c r="B114" s="1460"/>
      <c r="C114" s="73"/>
      <c r="D114" s="36" t="s">
        <v>679</v>
      </c>
      <c r="E114" s="5"/>
      <c r="F114" s="5"/>
      <c r="G114" s="5"/>
      <c r="H114" s="5"/>
      <c r="I114" s="5"/>
      <c r="J114" s="5"/>
      <c r="K114" s="5"/>
    </row>
    <row r="115" spans="2:11">
      <c r="B115" s="1460"/>
      <c r="C115" s="73"/>
      <c r="D115" s="43" t="s">
        <v>245</v>
      </c>
      <c r="E115" s="5"/>
      <c r="F115" s="5"/>
      <c r="G115" s="5"/>
      <c r="H115" s="5"/>
      <c r="I115" s="5"/>
      <c r="J115" s="5"/>
      <c r="K115" s="5"/>
    </row>
    <row r="116" spans="2:11" ht="36">
      <c r="B116" s="1460"/>
      <c r="C116" s="73"/>
      <c r="D116" s="43" t="s">
        <v>680</v>
      </c>
      <c r="E116" s="5"/>
      <c r="F116" s="5"/>
      <c r="G116" s="5"/>
      <c r="H116" s="5"/>
      <c r="I116" s="5"/>
      <c r="J116" s="5"/>
      <c r="K116" s="5"/>
    </row>
    <row r="117" spans="2:11">
      <c r="B117" s="1460"/>
      <c r="C117" s="73"/>
      <c r="D117" s="13"/>
      <c r="E117" s="5"/>
      <c r="F117" s="5"/>
      <c r="G117" s="5"/>
      <c r="H117" s="5"/>
      <c r="I117" s="5"/>
      <c r="J117" s="5"/>
      <c r="K117" s="5"/>
    </row>
    <row r="118" spans="2:11">
      <c r="B118" s="1460"/>
      <c r="C118" s="73"/>
      <c r="D118" s="36" t="s">
        <v>90</v>
      </c>
      <c r="E118" s="5"/>
      <c r="F118" s="5"/>
      <c r="G118" s="5"/>
      <c r="H118" s="5"/>
      <c r="I118" s="5"/>
      <c r="J118" s="5"/>
      <c r="K118" s="5"/>
    </row>
    <row r="119" spans="2:11" ht="50.4">
      <c r="B119" s="1460"/>
      <c r="C119" s="73"/>
      <c r="D119" s="36" t="s">
        <v>681</v>
      </c>
      <c r="E119" s="5"/>
      <c r="F119" s="5"/>
      <c r="G119" s="5"/>
      <c r="H119" s="5"/>
      <c r="I119" s="5"/>
      <c r="J119" s="5"/>
      <c r="K119" s="5"/>
    </row>
    <row r="120" spans="2:11" ht="50.4">
      <c r="B120" s="1460"/>
      <c r="C120" s="73"/>
      <c r="D120" s="36" t="s">
        <v>682</v>
      </c>
      <c r="E120" s="5"/>
      <c r="F120" s="5"/>
      <c r="G120" s="5"/>
      <c r="H120" s="5"/>
      <c r="I120" s="5"/>
      <c r="J120" s="5"/>
      <c r="K120" s="5"/>
    </row>
    <row r="121" spans="2:11" ht="51" thickBot="1">
      <c r="B121" s="1461"/>
      <c r="C121" s="2"/>
      <c r="D121" s="32" t="s">
        <v>683</v>
      </c>
      <c r="E121" s="5"/>
      <c r="F121" s="5"/>
      <c r="G121" s="5"/>
      <c r="H121" s="5"/>
      <c r="I121" s="5"/>
      <c r="J121" s="5"/>
      <c r="K121" s="5"/>
    </row>
    <row r="122" spans="2:11">
      <c r="B122" s="5"/>
      <c r="D122" s="5"/>
      <c r="E122" s="5"/>
      <c r="F122" s="5"/>
      <c r="G122" s="5"/>
      <c r="H122" s="5"/>
      <c r="I122" s="5"/>
      <c r="J122" s="5"/>
      <c r="K122" s="5"/>
    </row>
    <row r="123" spans="2:11">
      <c r="B123" s="5"/>
      <c r="D123" s="5"/>
      <c r="E123" s="5"/>
      <c r="F123" s="5"/>
      <c r="G123" s="5"/>
      <c r="H123" s="5"/>
      <c r="I123" s="5"/>
      <c r="J123" s="5"/>
      <c r="K123" s="5"/>
    </row>
    <row r="124" spans="2:11">
      <c r="B124" s="5"/>
      <c r="D124" s="5"/>
      <c r="E124" s="5"/>
      <c r="F124" s="5"/>
      <c r="G124" s="5"/>
      <c r="H124" s="5"/>
      <c r="I124" s="5"/>
      <c r="J124" s="5"/>
      <c r="K124" s="5"/>
    </row>
    <row r="125" spans="2:11">
      <c r="B125" s="5"/>
      <c r="D125" s="5"/>
      <c r="E125" s="5"/>
      <c r="F125" s="5"/>
      <c r="G125" s="5"/>
      <c r="H125" s="5"/>
      <c r="I125" s="5"/>
      <c r="J125" s="5"/>
      <c r="K125" s="5"/>
    </row>
    <row r="126" spans="2:11">
      <c r="B126" s="5"/>
      <c r="D126" s="5"/>
      <c r="E126" s="5"/>
      <c r="F126" s="5"/>
      <c r="G126" s="5"/>
      <c r="H126" s="5"/>
      <c r="I126" s="5"/>
      <c r="J126" s="5"/>
      <c r="K126" s="5"/>
    </row>
    <row r="127" spans="2:11">
      <c r="B127" s="5"/>
      <c r="D127" s="5"/>
      <c r="E127" s="5"/>
      <c r="F127" s="5"/>
      <c r="G127" s="5"/>
      <c r="H127" s="5"/>
      <c r="I127" s="5"/>
      <c r="J127" s="5"/>
      <c r="K127" s="5"/>
    </row>
    <row r="128" spans="2:11">
      <c r="B128" s="5"/>
      <c r="D128" s="5"/>
      <c r="E128" s="5"/>
      <c r="F128" s="5"/>
      <c r="G128" s="5"/>
      <c r="H128" s="5"/>
      <c r="I128" s="5"/>
      <c r="J128" s="5"/>
      <c r="K128" s="5"/>
    </row>
    <row r="129" spans="2:11">
      <c r="B129" s="5"/>
      <c r="D129" s="5"/>
      <c r="E129" s="5"/>
      <c r="F129" s="5"/>
      <c r="G129" s="5"/>
      <c r="H129" s="5"/>
      <c r="I129" s="5"/>
      <c r="J129" s="5"/>
      <c r="K129" s="5"/>
    </row>
    <row r="130" spans="2:11">
      <c r="B130" s="5"/>
      <c r="D130" s="5"/>
      <c r="E130" s="5"/>
      <c r="F130" s="5"/>
      <c r="G130" s="5"/>
      <c r="H130" s="5"/>
      <c r="I130" s="5"/>
      <c r="J130" s="5"/>
      <c r="K130" s="5"/>
    </row>
    <row r="131" spans="2:11">
      <c r="B131" s="5"/>
      <c r="D131" s="5"/>
      <c r="E131" s="5"/>
      <c r="F131" s="5"/>
      <c r="G131" s="5"/>
      <c r="H131" s="5"/>
      <c r="I131" s="5"/>
      <c r="J131" s="5"/>
      <c r="K131" s="5"/>
    </row>
    <row r="132" spans="2:11">
      <c r="B132" s="5"/>
      <c r="D132" s="5"/>
      <c r="E132" s="5"/>
      <c r="F132" s="5"/>
      <c r="G132" s="5"/>
      <c r="H132" s="5"/>
      <c r="I132" s="5"/>
      <c r="J132" s="5"/>
      <c r="K132" s="5"/>
    </row>
    <row r="133" spans="2:11">
      <c r="B133" s="5"/>
      <c r="D133" s="5"/>
      <c r="E133" s="5"/>
      <c r="F133" s="5"/>
      <c r="G133" s="5"/>
      <c r="H133" s="5"/>
      <c r="I133" s="5"/>
      <c r="J133" s="5"/>
      <c r="K133" s="5"/>
    </row>
    <row r="134" spans="2:11">
      <c r="B134" s="5"/>
      <c r="D134" s="5"/>
      <c r="E134" s="5"/>
      <c r="F134" s="5"/>
      <c r="G134" s="5"/>
      <c r="H134" s="5"/>
      <c r="I134" s="5"/>
      <c r="J134" s="5"/>
      <c r="K134" s="5"/>
    </row>
    <row r="135" spans="2:11">
      <c r="B135" s="5"/>
      <c r="D135" s="5"/>
      <c r="E135" s="5"/>
      <c r="F135" s="5"/>
      <c r="G135" s="5"/>
      <c r="H135" s="5"/>
      <c r="I135" s="5"/>
      <c r="J135" s="5"/>
      <c r="K135" s="5"/>
    </row>
    <row r="136" spans="2:11">
      <c r="B136" s="5"/>
      <c r="D136" s="5"/>
      <c r="E136" s="5"/>
      <c r="F136" s="5"/>
      <c r="G136" s="5"/>
      <c r="H136" s="5"/>
      <c r="I136" s="5"/>
      <c r="J136" s="5"/>
      <c r="K136" s="5"/>
    </row>
    <row r="137" spans="2:11">
      <c r="B137" s="5"/>
      <c r="D137" s="5"/>
      <c r="E137" s="5"/>
      <c r="F137" s="5"/>
      <c r="G137" s="5"/>
      <c r="H137" s="5"/>
      <c r="I137" s="5"/>
      <c r="J137" s="5"/>
      <c r="K137" s="5"/>
    </row>
    <row r="138" spans="2:11">
      <c r="B138" s="5"/>
      <c r="D138" s="5"/>
      <c r="E138" s="5"/>
      <c r="F138" s="5"/>
      <c r="G138" s="5"/>
      <c r="H138" s="5"/>
      <c r="I138" s="5"/>
      <c r="J138" s="5"/>
      <c r="K138" s="5"/>
    </row>
    <row r="139" spans="2:11">
      <c r="B139" s="5"/>
      <c r="D139" s="5"/>
      <c r="E139" s="5"/>
      <c r="F139" s="5"/>
      <c r="G139" s="5"/>
      <c r="H139" s="5"/>
      <c r="I139" s="5"/>
      <c r="J139" s="5"/>
      <c r="K139" s="5"/>
    </row>
    <row r="140" spans="2:11">
      <c r="B140" s="5"/>
      <c r="D140" s="5"/>
      <c r="E140" s="5"/>
      <c r="F140" s="5"/>
      <c r="G140" s="5"/>
      <c r="H140" s="5"/>
      <c r="I140" s="5"/>
      <c r="J140" s="5"/>
      <c r="K140" s="5"/>
    </row>
    <row r="141" spans="2:11">
      <c r="B141" s="5"/>
      <c r="D141" s="5"/>
      <c r="E141" s="5"/>
      <c r="F141" s="5"/>
      <c r="G141" s="5"/>
      <c r="H141" s="5"/>
      <c r="I141" s="5"/>
      <c r="J141" s="5"/>
      <c r="K141" s="5"/>
    </row>
    <row r="142" spans="2:11">
      <c r="B142" s="5"/>
      <c r="D142" s="5"/>
      <c r="E142" s="5"/>
      <c r="F142" s="5"/>
      <c r="G142" s="5"/>
      <c r="H142" s="5"/>
      <c r="I142" s="5"/>
      <c r="J142" s="5"/>
      <c r="K142" s="5"/>
    </row>
    <row r="143" spans="2:11">
      <c r="B143" s="5"/>
      <c r="D143" s="5"/>
      <c r="E143" s="5"/>
      <c r="F143" s="5"/>
      <c r="G143" s="5"/>
      <c r="H143" s="5"/>
      <c r="I143" s="5"/>
      <c r="J143" s="5"/>
      <c r="K143" s="5"/>
    </row>
    <row r="144" spans="2:11">
      <c r="B144" s="5"/>
      <c r="D144" s="5"/>
      <c r="E144" s="5"/>
      <c r="F144" s="5"/>
      <c r="G144" s="5"/>
      <c r="H144" s="5"/>
      <c r="I144" s="5"/>
      <c r="J144" s="5"/>
      <c r="K144" s="5"/>
    </row>
    <row r="145" spans="2:11">
      <c r="B145" s="5"/>
      <c r="D145" s="5"/>
      <c r="E145" s="5"/>
      <c r="F145" s="5"/>
      <c r="G145" s="5"/>
      <c r="H145" s="5"/>
      <c r="I145" s="5"/>
      <c r="J145" s="5"/>
      <c r="K145" s="5"/>
    </row>
    <row r="146" spans="2:11">
      <c r="B146" s="5"/>
      <c r="D146" s="5"/>
      <c r="E146" s="5"/>
      <c r="F146" s="5"/>
      <c r="G146" s="5"/>
      <c r="H146" s="5"/>
      <c r="I146" s="5"/>
      <c r="J146" s="5"/>
      <c r="K146" s="5"/>
    </row>
    <row r="147" spans="2:11">
      <c r="B147" s="5"/>
      <c r="D147" s="5"/>
      <c r="E147" s="5"/>
      <c r="F147" s="5"/>
      <c r="G147" s="5"/>
      <c r="H147" s="5"/>
      <c r="I147" s="5"/>
      <c r="J147" s="5"/>
      <c r="K147" s="5"/>
    </row>
    <row r="148" spans="2:11">
      <c r="B148" s="5"/>
      <c r="D148" s="5"/>
      <c r="E148" s="5"/>
      <c r="F148" s="5"/>
      <c r="G148" s="5"/>
      <c r="H148" s="5"/>
      <c r="I148" s="5"/>
      <c r="J148" s="5"/>
      <c r="K148" s="5"/>
    </row>
    <row r="149" spans="2:11">
      <c r="B149" s="5"/>
      <c r="D149" s="5"/>
      <c r="E149" s="5"/>
      <c r="F149" s="5"/>
      <c r="G149" s="5"/>
      <c r="H149" s="5"/>
      <c r="I149" s="5"/>
      <c r="J149" s="5"/>
      <c r="K149" s="5"/>
    </row>
    <row r="150" spans="2:11">
      <c r="B150" s="5"/>
      <c r="D150" s="5"/>
      <c r="E150" s="5"/>
      <c r="F150" s="5"/>
      <c r="G150" s="5"/>
      <c r="H150" s="5"/>
      <c r="I150" s="5"/>
      <c r="J150" s="5"/>
      <c r="K150" s="5"/>
    </row>
    <row r="151" spans="2:11">
      <c r="B151" s="5"/>
      <c r="D151" s="5"/>
      <c r="E151" s="5"/>
      <c r="F151" s="5"/>
      <c r="G151" s="5"/>
      <c r="H151" s="5"/>
      <c r="I151" s="5"/>
      <c r="J151" s="5"/>
      <c r="K151" s="5"/>
    </row>
    <row r="152" spans="2:11">
      <c r="B152" s="5"/>
      <c r="D152" s="5"/>
      <c r="E152" s="5"/>
      <c r="F152" s="5"/>
      <c r="G152" s="5"/>
      <c r="H152" s="5"/>
      <c r="I152" s="5"/>
      <c r="J152" s="5"/>
      <c r="K152" s="5"/>
    </row>
    <row r="153" spans="2:11">
      <c r="B153" s="5"/>
      <c r="D153" s="5"/>
      <c r="E153" s="5"/>
      <c r="F153" s="5"/>
      <c r="G153" s="5"/>
      <c r="H153" s="5"/>
      <c r="I153" s="5"/>
      <c r="J153" s="5"/>
      <c r="K153" s="5"/>
    </row>
    <row r="154" spans="2:11">
      <c r="B154" s="5"/>
      <c r="D154" s="5"/>
      <c r="E154" s="5"/>
      <c r="F154" s="5"/>
      <c r="G154" s="5"/>
      <c r="H154" s="5"/>
      <c r="I154" s="5"/>
      <c r="J154" s="5"/>
      <c r="K154" s="5"/>
    </row>
    <row r="155" spans="2:11">
      <c r="B155" s="5"/>
      <c r="D155" s="5"/>
      <c r="E155" s="5"/>
      <c r="F155" s="5"/>
      <c r="G155" s="5"/>
      <c r="H155" s="5"/>
      <c r="I155" s="5"/>
      <c r="J155" s="5"/>
      <c r="K155" s="5"/>
    </row>
    <row r="156" spans="2:11">
      <c r="B156" s="5"/>
      <c r="D156" s="5"/>
      <c r="E156" s="5"/>
      <c r="F156" s="5"/>
      <c r="G156" s="5"/>
      <c r="H156" s="5"/>
      <c r="I156" s="5"/>
      <c r="J156" s="5"/>
      <c r="K156" s="5"/>
    </row>
    <row r="157" spans="2:11">
      <c r="B157" s="5"/>
      <c r="D157" s="5"/>
      <c r="E157" s="5"/>
      <c r="F157" s="5"/>
      <c r="G157" s="5"/>
      <c r="H157" s="5"/>
      <c r="I157" s="5"/>
      <c r="J157" s="5"/>
      <c r="K157" s="5"/>
    </row>
    <row r="158" spans="2:11">
      <c r="B158" s="5"/>
      <c r="D158" s="5"/>
      <c r="E158" s="5"/>
      <c r="F158" s="5"/>
      <c r="G158" s="5"/>
      <c r="H158" s="5"/>
      <c r="I158" s="5"/>
      <c r="J158" s="5"/>
      <c r="K158" s="5"/>
    </row>
    <row r="159" spans="2:11">
      <c r="B159" s="5"/>
      <c r="D159" s="5"/>
      <c r="E159" s="5"/>
      <c r="F159" s="5"/>
      <c r="G159" s="5"/>
      <c r="H159" s="5"/>
      <c r="I159" s="5"/>
      <c r="J159" s="5"/>
      <c r="K159" s="5"/>
    </row>
    <row r="160" spans="2:11">
      <c r="B160" s="5"/>
      <c r="D160" s="5"/>
      <c r="E160" s="5"/>
      <c r="F160" s="5"/>
      <c r="G160" s="5"/>
      <c r="H160" s="5"/>
      <c r="I160" s="5"/>
      <c r="J160" s="5"/>
      <c r="K160" s="5"/>
    </row>
    <row r="161" spans="2:11">
      <c r="B161" s="5"/>
      <c r="D161" s="5"/>
      <c r="E161" s="5"/>
      <c r="F161" s="5"/>
      <c r="G161" s="5"/>
      <c r="H161" s="5"/>
      <c r="I161" s="5"/>
      <c r="J161" s="5"/>
      <c r="K161" s="5"/>
    </row>
    <row r="162" spans="2:11">
      <c r="B162" s="5"/>
      <c r="D162" s="5"/>
      <c r="E162" s="5"/>
      <c r="F162" s="5"/>
      <c r="G162" s="5"/>
      <c r="H162" s="5"/>
      <c r="I162" s="5"/>
      <c r="J162" s="5"/>
      <c r="K162" s="5"/>
    </row>
    <row r="163" spans="2:11">
      <c r="B163" s="5"/>
      <c r="D163" s="5"/>
      <c r="E163" s="5"/>
      <c r="F163" s="5"/>
      <c r="G163" s="5"/>
      <c r="H163" s="5"/>
      <c r="I163" s="5"/>
      <c r="J163" s="5"/>
      <c r="K163" s="5"/>
    </row>
    <row r="164" spans="2:11">
      <c r="B164" s="5"/>
      <c r="D164" s="5"/>
      <c r="E164" s="5"/>
      <c r="F164" s="5"/>
      <c r="G164" s="5"/>
      <c r="H164" s="5"/>
      <c r="I164" s="5"/>
      <c r="J164" s="5"/>
      <c r="K164" s="5"/>
    </row>
    <row r="165" spans="2:11">
      <c r="B165" s="5"/>
      <c r="D165" s="5"/>
      <c r="E165" s="5"/>
      <c r="F165" s="5"/>
      <c r="G165" s="5"/>
      <c r="H165" s="5"/>
      <c r="I165" s="5"/>
      <c r="J165" s="5"/>
      <c r="K165" s="5"/>
    </row>
    <row r="166" spans="2:11">
      <c r="B166" s="5"/>
      <c r="D166" s="5"/>
      <c r="E166" s="5"/>
      <c r="F166" s="5"/>
      <c r="G166" s="5"/>
      <c r="H166" s="5"/>
      <c r="I166" s="5"/>
      <c r="J166" s="5"/>
      <c r="K166" s="5"/>
    </row>
    <row r="167" spans="2:11">
      <c r="B167" s="5"/>
      <c r="D167" s="5"/>
      <c r="E167" s="5"/>
      <c r="F167" s="5"/>
      <c r="G167" s="5"/>
      <c r="H167" s="5"/>
      <c r="I167" s="5"/>
      <c r="J167" s="5"/>
      <c r="K167" s="5"/>
    </row>
    <row r="168" spans="2:11">
      <c r="B168" s="5"/>
      <c r="D168" s="5"/>
      <c r="E168" s="5"/>
      <c r="F168" s="5"/>
      <c r="G168" s="5"/>
      <c r="H168" s="5"/>
      <c r="I168" s="5"/>
      <c r="J168" s="5"/>
      <c r="K168" s="5"/>
    </row>
    <row r="169" spans="2:11">
      <c r="B169" s="5"/>
      <c r="D169" s="5"/>
      <c r="E169" s="5"/>
      <c r="F169" s="5"/>
      <c r="G169" s="5"/>
      <c r="H169" s="5"/>
      <c r="I169" s="5"/>
      <c r="J169" s="5"/>
      <c r="K169" s="5"/>
    </row>
    <row r="170" spans="2:11">
      <c r="B170" s="5"/>
      <c r="D170" s="5"/>
      <c r="E170" s="5"/>
      <c r="F170" s="5"/>
      <c r="G170" s="5"/>
      <c r="H170" s="5"/>
      <c r="I170" s="5"/>
      <c r="J170" s="5"/>
      <c r="K170" s="5"/>
    </row>
    <row r="171" spans="2:11">
      <c r="B171" s="5"/>
      <c r="D171" s="5"/>
      <c r="E171" s="5"/>
      <c r="F171" s="5"/>
      <c r="G171" s="5"/>
      <c r="H171" s="5"/>
      <c r="I171" s="5"/>
      <c r="J171" s="5"/>
      <c r="K171" s="5"/>
    </row>
    <row r="172" spans="2:11">
      <c r="B172" s="5"/>
      <c r="D172" s="5"/>
      <c r="E172" s="5"/>
      <c r="F172" s="5"/>
      <c r="G172" s="5"/>
      <c r="H172" s="5"/>
      <c r="I172" s="5"/>
      <c r="J172" s="5"/>
      <c r="K172" s="5"/>
    </row>
    <row r="173" spans="2:11">
      <c r="B173" s="5"/>
      <c r="D173" s="5"/>
      <c r="E173" s="5"/>
      <c r="F173" s="5"/>
      <c r="G173" s="5"/>
      <c r="H173" s="5"/>
      <c r="I173" s="5"/>
      <c r="J173" s="5"/>
      <c r="K173" s="5"/>
    </row>
    <row r="174" spans="2:11">
      <c r="B174" s="5"/>
      <c r="D174" s="5"/>
      <c r="E174" s="5"/>
      <c r="F174" s="5"/>
      <c r="G174" s="5"/>
      <c r="H174" s="5"/>
      <c r="I174" s="5"/>
      <c r="J174" s="5"/>
      <c r="K174" s="5"/>
    </row>
    <row r="175" spans="2:11">
      <c r="B175" s="5"/>
      <c r="D175" s="5"/>
      <c r="E175" s="5"/>
      <c r="F175" s="5"/>
      <c r="G175" s="5"/>
      <c r="H175" s="5"/>
      <c r="I175" s="5"/>
      <c r="J175" s="5"/>
      <c r="K175" s="5"/>
    </row>
    <row r="176" spans="2:11">
      <c r="B176" s="5"/>
      <c r="D176" s="5"/>
      <c r="E176" s="5"/>
      <c r="F176" s="5"/>
      <c r="G176" s="5"/>
      <c r="H176" s="5"/>
      <c r="I176" s="5"/>
      <c r="J176" s="5"/>
      <c r="K176" s="5"/>
    </row>
    <row r="177" spans="2:11">
      <c r="B177" s="5"/>
      <c r="D177" s="5"/>
      <c r="E177" s="5"/>
      <c r="F177" s="5"/>
      <c r="G177" s="5"/>
      <c r="H177" s="5"/>
      <c r="I177" s="5"/>
      <c r="J177" s="5"/>
      <c r="K177" s="5"/>
    </row>
    <row r="178" spans="2:11">
      <c r="B178" s="5"/>
      <c r="D178" s="5"/>
      <c r="E178" s="5"/>
      <c r="F178" s="5"/>
      <c r="G178" s="5"/>
      <c r="H178" s="5"/>
      <c r="I178" s="5"/>
      <c r="J178" s="5"/>
      <c r="K178" s="5"/>
    </row>
    <row r="179" spans="2:11">
      <c r="B179" s="5"/>
      <c r="D179" s="5"/>
      <c r="E179" s="5"/>
      <c r="F179" s="5"/>
      <c r="G179" s="5"/>
      <c r="H179" s="5"/>
      <c r="I179" s="5"/>
      <c r="J179" s="5"/>
      <c r="K179" s="5"/>
    </row>
    <row r="180" spans="2:11">
      <c r="B180" s="5"/>
      <c r="D180" s="5"/>
      <c r="E180" s="5"/>
      <c r="F180" s="5"/>
      <c r="G180" s="5"/>
      <c r="H180" s="5"/>
      <c r="I180" s="5"/>
      <c r="J180" s="5"/>
      <c r="K180" s="5"/>
    </row>
  </sheetData>
  <sheetProtection insertRows="0"/>
  <mergeCells count="40">
    <mergeCell ref="B10:D10"/>
    <mergeCell ref="F10:S10"/>
    <mergeCell ref="F11:S11"/>
    <mergeCell ref="E12:R12"/>
    <mergeCell ref="E13:R13"/>
    <mergeCell ref="D16:K16"/>
    <mergeCell ref="D21:K21"/>
    <mergeCell ref="D36:D38"/>
    <mergeCell ref="E36:F36"/>
    <mergeCell ref="E37:E38"/>
    <mergeCell ref="G37:G38"/>
    <mergeCell ref="B89:B108"/>
    <mergeCell ref="B109:B121"/>
    <mergeCell ref="C24:C26"/>
    <mergeCell ref="D24:D26"/>
    <mergeCell ref="E24:E26"/>
    <mergeCell ref="B80:B87"/>
    <mergeCell ref="B59:E59"/>
    <mergeCell ref="B60:B66"/>
    <mergeCell ref="B15:B20"/>
    <mergeCell ref="B73:F74"/>
    <mergeCell ref="B68:F68"/>
    <mergeCell ref="D22:K22"/>
    <mergeCell ref="D23:K23"/>
    <mergeCell ref="D34:K34"/>
    <mergeCell ref="D35:K35"/>
    <mergeCell ref="B50:E50"/>
    <mergeCell ref="B51:B57"/>
    <mergeCell ref="F24:F26"/>
    <mergeCell ref="G24:J24"/>
    <mergeCell ref="H25:H26"/>
    <mergeCell ref="I25:I26"/>
    <mergeCell ref="J25:J26"/>
    <mergeCell ref="C36:C38"/>
    <mergeCell ref="D15:K15"/>
    <mergeCell ref="A1:P1"/>
    <mergeCell ref="A2:P2"/>
    <mergeCell ref="A3:P3"/>
    <mergeCell ref="A4:D4"/>
    <mergeCell ref="A5:P5"/>
  </mergeCells>
  <conditionalFormatting sqref="D45">
    <cfRule type="containsText" dxfId="52" priority="5" operator="containsText" text="ERROR">
      <formula>NOT(ISERROR(SEARCH("ERROR",D45)))</formula>
    </cfRule>
  </conditionalFormatting>
  <conditionalFormatting sqref="E12:R12">
    <cfRule type="expression" dxfId="51" priority="1">
      <formula>E11="SI SE REPORTA"</formula>
    </cfRule>
  </conditionalFormatting>
  <conditionalFormatting sqref="F10">
    <cfRule type="notContainsBlanks" dxfId="50" priority="4">
      <formula>LEN(TRIM(F10))&gt;0</formula>
    </cfRule>
  </conditionalFormatting>
  <conditionalFormatting sqref="F11:S11">
    <cfRule type="expression" dxfId="49" priority="2">
      <formula>E11="NO SE REPORTA"</formula>
    </cfRule>
    <cfRule type="expression" dxfId="48" priority="3">
      <formula>E10="NO APLICA"</formula>
    </cfRule>
  </conditionalFormatting>
  <dataValidations count="6">
    <dataValidation type="whole" operator="greaterThanOrEqual" allowBlank="1" showErrorMessage="1" errorTitle="ERROR" error="Escriba un número igual o mayor que 0" promptTitle="ERROR" prompt="Escriba un número igual o mayor que 0" sqref="E18:H19" xr:uid="{00000000-0002-0000-1600-000000000000}">
      <formula1>0</formula1>
    </dataValidation>
    <dataValidation type="whole" operator="greaterThanOrEqual" allowBlank="1" showInputMessage="1" showErrorMessage="1" errorTitle="ERROR" error="Valor en PESOS (sin centavos)" sqref="G32:J32 G31 J29" xr:uid="{00000000-0002-0000-1600-000001000000}">
      <formula1>0</formula1>
    </dataValidation>
    <dataValidation type="decimal" allowBlank="1" showInputMessage="1" showErrorMessage="1" errorTitle="ERROR" error="Escriba un valor entre 0% y 100%" sqref="D39:D44" xr:uid="{00000000-0002-0000-1600-000002000000}">
      <formula1>0</formula1>
      <formula2>1</formula2>
    </dataValidation>
    <dataValidation allowBlank="1" showInputMessage="1" showErrorMessage="1" sqref="D45 I18:I19 G33:J33 E39:F45" xr:uid="{00000000-0002-0000-1600-000003000000}"/>
    <dataValidation type="list" allowBlank="1" showInputMessage="1" showErrorMessage="1" sqref="E11" xr:uid="{00000000-0002-0000-1600-000004000000}">
      <formula1>REPORTE</formula1>
    </dataValidation>
    <dataValidation type="list" allowBlank="1" showInputMessage="1" showErrorMessage="1" sqref="E10" xr:uid="{00000000-0002-0000-1600-000005000000}">
      <formula1>SI</formula1>
    </dataValidation>
  </dataValidations>
  <hyperlinks>
    <hyperlink ref="B9" location="'ANEXO 3'!A1" display="VOLVER AL INDICE" xr:uid="{00000000-0004-0000-1600-000000000000}"/>
    <hyperlink ref="E55" r:id="rId1" xr:uid="{00000000-0004-0000-1600-000001000000}"/>
  </hyperlinks>
  <pageMargins left="0.25" right="0.25" top="0.75" bottom="0.75" header="0.3" footer="0.3"/>
  <pageSetup paperSize="178" orientation="landscape" horizontalDpi="1200" verticalDpi="1200" r:id="rId2"/>
  <drawing r:id="rId3"/>
  <legacyDrawing r:id="rId4"/>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9"/>
  <dimension ref="A1:U181"/>
  <sheetViews>
    <sheetView showGridLines="0" topLeftCell="A20" zoomScale="78" zoomScaleNormal="78" workbookViewId="0">
      <selection activeCell="D45" sqref="D45"/>
    </sheetView>
  </sheetViews>
  <sheetFormatPr baseColWidth="10" defaultRowHeight="14.4"/>
  <cols>
    <col min="1" max="1" width="1.88671875" customWidth="1"/>
    <col min="2" max="2" width="12.88671875" customWidth="1"/>
    <col min="3" max="3" width="10" style="66" customWidth="1"/>
    <col min="4" max="4" width="34.88671875" customWidth="1"/>
    <col min="5" max="5" width="30.5546875" customWidth="1"/>
    <col min="6" max="6" width="16.44140625" customWidth="1"/>
    <col min="7" max="8" width="14.88671875" customWidth="1"/>
    <col min="9" max="9" width="16.88671875" bestFit="1" customWidth="1"/>
    <col min="10" max="10" width="91.6640625" customWidth="1"/>
    <col min="11" max="11" width="14.44140625" customWidth="1"/>
  </cols>
  <sheetData>
    <row r="1" spans="1:21" s="314" customFormat="1" ht="100.5" customHeight="1" thickBot="1">
      <c r="A1" s="1421"/>
      <c r="B1" s="1422"/>
      <c r="C1" s="1422"/>
      <c r="D1" s="1422"/>
      <c r="E1" s="1422"/>
      <c r="F1" s="1422"/>
      <c r="G1" s="1422"/>
      <c r="H1" s="1422"/>
      <c r="I1" s="1422"/>
      <c r="J1" s="1422"/>
      <c r="K1" s="1422"/>
      <c r="L1" s="1422"/>
      <c r="M1" s="1422"/>
      <c r="N1" s="1422"/>
      <c r="O1" s="1422"/>
      <c r="P1" s="1423"/>
      <c r="Q1"/>
      <c r="R1"/>
    </row>
    <row r="2" spans="1:21" s="315" customFormat="1" ht="16.2" thickBot="1">
      <c r="A2" s="1418" t="str">
        <f>+'Datos Generales'!C5</f>
        <v>Corporación Autónoma Regional del Atlántico – CRA</v>
      </c>
      <c r="B2" s="1419"/>
      <c r="C2" s="1419"/>
      <c r="D2" s="1419"/>
      <c r="E2" s="1419"/>
      <c r="F2" s="1419"/>
      <c r="G2" s="1419"/>
      <c r="H2" s="1419"/>
      <c r="I2" s="1419"/>
      <c r="J2" s="1419"/>
      <c r="K2" s="1419"/>
      <c r="L2" s="1419"/>
      <c r="M2" s="1419"/>
      <c r="N2" s="1419"/>
      <c r="O2" s="1419"/>
      <c r="P2" s="1420"/>
      <c r="Q2"/>
      <c r="R2"/>
    </row>
    <row r="3" spans="1:21" s="315" customFormat="1" ht="16.2" thickBot="1">
      <c r="A3" s="1426" t="s">
        <v>1295</v>
      </c>
      <c r="B3" s="1427"/>
      <c r="C3" s="1427"/>
      <c r="D3" s="1427"/>
      <c r="E3" s="1427"/>
      <c r="F3" s="1427"/>
      <c r="G3" s="1427"/>
      <c r="H3" s="1427"/>
      <c r="I3" s="1427"/>
      <c r="J3" s="1427"/>
      <c r="K3" s="1427"/>
      <c r="L3" s="1427"/>
      <c r="M3" s="1427"/>
      <c r="N3" s="1427"/>
      <c r="O3" s="1427"/>
      <c r="P3" s="1428"/>
      <c r="Q3"/>
      <c r="R3"/>
    </row>
    <row r="4" spans="1:21" s="315" customFormat="1" ht="16.2" thickBot="1">
      <c r="A4" s="1424" t="s">
        <v>1294</v>
      </c>
      <c r="B4" s="1425"/>
      <c r="C4" s="1425"/>
      <c r="D4" s="1425"/>
      <c r="E4" s="322" t="str">
        <f>+'Datos Generales'!C6</f>
        <v>2023-II</v>
      </c>
      <c r="F4" s="322"/>
      <c r="G4" s="322"/>
      <c r="H4" s="322"/>
      <c r="I4" s="322"/>
      <c r="J4" s="322"/>
      <c r="K4" s="322"/>
      <c r="L4" s="323"/>
      <c r="M4" s="323"/>
      <c r="N4" s="323"/>
      <c r="O4" s="323"/>
      <c r="P4" s="324"/>
      <c r="Q4"/>
      <c r="R4"/>
    </row>
    <row r="5" spans="1:21" ht="16.5" customHeight="1" thickBot="1">
      <c r="A5" s="1426" t="s">
        <v>697</v>
      </c>
      <c r="B5" s="1427"/>
      <c r="C5" s="1427"/>
      <c r="D5" s="1427"/>
      <c r="E5" s="1427"/>
      <c r="F5" s="1427"/>
      <c r="G5" s="1427"/>
      <c r="H5" s="1427"/>
      <c r="I5" s="1427"/>
      <c r="J5" s="1427"/>
      <c r="K5" s="1427"/>
      <c r="L5" s="1427"/>
      <c r="M5" s="1427"/>
      <c r="N5" s="1427"/>
      <c r="O5" s="1427"/>
      <c r="P5" s="1428"/>
    </row>
    <row r="6" spans="1:21">
      <c r="B6" s="1" t="s">
        <v>1</v>
      </c>
      <c r="C6" s="64"/>
      <c r="D6" s="5"/>
      <c r="E6" s="62"/>
      <c r="F6" s="5" t="s">
        <v>127</v>
      </c>
      <c r="G6" s="5"/>
      <c r="H6" s="5"/>
      <c r="I6" s="5"/>
      <c r="J6" s="5"/>
      <c r="K6" s="5"/>
    </row>
    <row r="7" spans="1:21" ht="15" thickBot="1">
      <c r="B7" s="63"/>
      <c r="C7" s="65"/>
      <c r="D7" s="5"/>
      <c r="E7" s="14"/>
      <c r="F7" s="5" t="s">
        <v>128</v>
      </c>
      <c r="G7" s="5"/>
      <c r="H7" s="5"/>
      <c r="I7" s="5"/>
      <c r="J7" s="5"/>
      <c r="K7" s="5"/>
    </row>
    <row r="8" spans="1:21" ht="15" thickBot="1">
      <c r="B8" s="143" t="s">
        <v>1180</v>
      </c>
      <c r="C8" s="571">
        <v>2023</v>
      </c>
      <c r="D8" s="171">
        <f>IF(E10="NO APLICA","NO APLICA",IF(E11="NO SE REPORTA","SIN INFORMACION",+I32))</f>
        <v>1</v>
      </c>
      <c r="E8" s="168"/>
      <c r="F8" s="5" t="s">
        <v>129</v>
      </c>
      <c r="G8" s="5"/>
      <c r="H8" s="5"/>
      <c r="I8" s="5"/>
      <c r="J8" s="5"/>
      <c r="K8" s="5"/>
    </row>
    <row r="9" spans="1:21">
      <c r="B9" s="300" t="s">
        <v>1181</v>
      </c>
      <c r="D9" s="5"/>
      <c r="E9" s="5"/>
      <c r="F9" s="5"/>
      <c r="G9" s="5"/>
      <c r="H9" s="5"/>
      <c r="I9" s="5"/>
      <c r="J9" s="5"/>
      <c r="K9" s="5"/>
    </row>
    <row r="10" spans="1:21">
      <c r="B10" s="1429" t="s">
        <v>1236</v>
      </c>
      <c r="C10" s="1429"/>
      <c r="D10" s="1429"/>
      <c r="E10" s="303" t="s">
        <v>1233</v>
      </c>
      <c r="F10" s="1436"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437"/>
      <c r="H10" s="1437"/>
      <c r="I10" s="1437"/>
      <c r="J10" s="1437"/>
      <c r="K10" s="1437"/>
      <c r="L10" s="1437"/>
      <c r="M10" s="1437"/>
      <c r="N10" s="1437"/>
      <c r="O10" s="1437"/>
      <c r="P10" s="1437"/>
      <c r="Q10" s="1437"/>
      <c r="R10" s="1437"/>
      <c r="S10" s="1437"/>
      <c r="T10" s="5"/>
      <c r="U10" s="5"/>
    </row>
    <row r="11" spans="1:21" ht="14.4" customHeight="1">
      <c r="B11" s="302"/>
      <c r="C11" s="67"/>
      <c r="D11" s="144" t="str">
        <f>IF(E10="SI APLICA","¿El indicador no se reporta por limitaciones de información disponible? ","")</f>
        <v xml:space="preserve">¿El indicador no se reporta por limitaciones de información disponible? </v>
      </c>
      <c r="E11" s="304" t="s">
        <v>1235</v>
      </c>
      <c r="F11" s="1430"/>
      <c r="G11" s="1431"/>
      <c r="H11" s="1431"/>
      <c r="I11" s="1431"/>
      <c r="J11" s="1431"/>
      <c r="K11" s="1431"/>
      <c r="L11" s="1431"/>
      <c r="M11" s="1431"/>
      <c r="N11" s="1431"/>
      <c r="O11" s="1431"/>
      <c r="P11" s="1431"/>
      <c r="Q11" s="1431"/>
      <c r="R11" s="1431"/>
      <c r="S11" s="1431"/>
    </row>
    <row r="12" spans="1:21" ht="114.75" customHeight="1">
      <c r="B12" s="300"/>
      <c r="C12" s="67"/>
      <c r="D12" s="144" t="str">
        <f>IF(E11="SI SE REPORTA","¿Qué programas o proyectos del Plan de Acción están asociados al indicador? ","")</f>
        <v xml:space="preserve">¿Qué programas o proyectos del Plan de Acción están asociados al indicador? </v>
      </c>
      <c r="E12" s="1432" t="s">
        <v>1872</v>
      </c>
      <c r="F12" s="1432"/>
      <c r="G12" s="1432"/>
      <c r="H12" s="1432"/>
      <c r="I12" s="1432"/>
      <c r="J12" s="1432"/>
      <c r="K12" s="1432"/>
      <c r="L12" s="1432"/>
      <c r="M12" s="1432"/>
      <c r="N12" s="1432"/>
      <c r="O12" s="1432"/>
      <c r="P12" s="1432"/>
      <c r="Q12" s="1432"/>
      <c r="R12" s="1432"/>
    </row>
    <row r="13" spans="1:21" ht="21.9" customHeight="1">
      <c r="B13" s="300"/>
      <c r="C13" s="67"/>
      <c r="D13" s="144" t="s">
        <v>1238</v>
      </c>
      <c r="E13" s="1433"/>
      <c r="F13" s="1434"/>
      <c r="G13" s="1434"/>
      <c r="H13" s="1434"/>
      <c r="I13" s="1434"/>
      <c r="J13" s="1434"/>
      <c r="K13" s="1434"/>
      <c r="L13" s="1434"/>
      <c r="M13" s="1434"/>
      <c r="N13" s="1434"/>
      <c r="O13" s="1434"/>
      <c r="P13" s="1434"/>
      <c r="Q13" s="1434"/>
      <c r="R13" s="1435"/>
    </row>
    <row r="14" spans="1:21" ht="6.9" customHeight="1" thickBot="1">
      <c r="B14" s="300"/>
      <c r="D14" s="5"/>
      <c r="E14" s="5"/>
      <c r="F14" s="5"/>
      <c r="G14" s="5"/>
      <c r="H14" s="5"/>
      <c r="I14" s="5"/>
      <c r="J14" s="5"/>
      <c r="K14" s="5"/>
    </row>
    <row r="15" spans="1:21" ht="15" customHeight="1" thickTop="1">
      <c r="B15" s="1561" t="s">
        <v>2</v>
      </c>
      <c r="C15" s="68"/>
      <c r="D15" s="1450" t="s">
        <v>335</v>
      </c>
      <c r="E15" s="1451"/>
      <c r="F15" s="1451"/>
      <c r="G15" s="1451"/>
      <c r="H15" s="1451"/>
      <c r="I15" s="1451"/>
      <c r="J15" s="1451"/>
      <c r="K15" s="1451"/>
      <c r="L15" s="1624"/>
    </row>
    <row r="16" spans="1:21" ht="26.25" customHeight="1" thickBot="1">
      <c r="B16" s="1484"/>
      <c r="C16" s="71"/>
      <c r="D16" s="1667" t="s">
        <v>746</v>
      </c>
      <c r="E16" s="1668"/>
      <c r="F16" s="1668"/>
      <c r="G16" s="1668"/>
      <c r="H16" s="1668"/>
      <c r="I16" s="1668"/>
      <c r="J16" s="1668"/>
      <c r="K16" s="1668"/>
      <c r="L16" s="1698"/>
    </row>
    <row r="17" spans="2:12" ht="15" thickBot="1">
      <c r="B17" s="1484"/>
      <c r="C17" s="69" t="s">
        <v>18</v>
      </c>
      <c r="D17" s="30" t="s">
        <v>252</v>
      </c>
      <c r="E17" s="537" t="s">
        <v>19</v>
      </c>
      <c r="F17" s="537" t="s">
        <v>20</v>
      </c>
      <c r="G17" s="537" t="s">
        <v>21</v>
      </c>
      <c r="H17" s="537" t="s">
        <v>22</v>
      </c>
      <c r="I17" s="537" t="s">
        <v>253</v>
      </c>
      <c r="J17" s="5"/>
      <c r="L17" s="17"/>
    </row>
    <row r="18" spans="2:12" ht="24.6" thickBot="1">
      <c r="B18" s="1484"/>
      <c r="C18" s="70" t="s">
        <v>151</v>
      </c>
      <c r="D18" s="32" t="s">
        <v>759</v>
      </c>
      <c r="E18" s="512">
        <v>5</v>
      </c>
      <c r="F18" s="512">
        <v>8</v>
      </c>
      <c r="G18" s="512">
        <v>9</v>
      </c>
      <c r="H18" s="512">
        <v>7</v>
      </c>
      <c r="I18" s="523">
        <f>SUM(E18:H18)</f>
        <v>29</v>
      </c>
      <c r="J18" s="520"/>
      <c r="L18" s="17"/>
    </row>
    <row r="19" spans="2:12">
      <c r="B19" s="1484"/>
      <c r="C19" s="71"/>
      <c r="D19" s="1441"/>
      <c r="E19" s="1442"/>
      <c r="F19" s="1442"/>
      <c r="G19" s="1442"/>
      <c r="H19" s="1442"/>
      <c r="I19" s="1442"/>
      <c r="J19" s="1442"/>
      <c r="K19" s="1442"/>
      <c r="L19" s="1607"/>
    </row>
    <row r="20" spans="2:12" ht="15" thickBot="1">
      <c r="B20" s="175"/>
      <c r="C20" s="71"/>
      <c r="D20" s="1441" t="s">
        <v>760</v>
      </c>
      <c r="E20" s="1442"/>
      <c r="F20" s="1442"/>
      <c r="G20" s="1442"/>
      <c r="H20" s="1442"/>
      <c r="I20" s="1442"/>
      <c r="J20" s="1442"/>
      <c r="K20" s="1442"/>
      <c r="L20" s="1607"/>
    </row>
    <row r="21" spans="2:12" ht="42.75" customHeight="1" thickBot="1">
      <c r="B21" s="175"/>
      <c r="C21" s="1562" t="s">
        <v>18</v>
      </c>
      <c r="D21" s="1652" t="s">
        <v>269</v>
      </c>
      <c r="E21" s="1652" t="s">
        <v>618</v>
      </c>
      <c r="F21" s="1700" t="s">
        <v>619</v>
      </c>
      <c r="G21" s="1701"/>
      <c r="H21" s="1701"/>
      <c r="I21" s="1701"/>
      <c r="J21" s="1702"/>
      <c r="L21" s="17"/>
    </row>
    <row r="22" spans="2:12" ht="48.75" customHeight="1" thickBot="1">
      <c r="B22" s="175"/>
      <c r="C22" s="1563"/>
      <c r="D22" s="1692"/>
      <c r="E22" s="1692"/>
      <c r="F22" s="1318" t="s">
        <v>620</v>
      </c>
      <c r="G22" s="1318" t="s">
        <v>621</v>
      </c>
      <c r="H22" s="1318" t="s">
        <v>622</v>
      </c>
      <c r="I22" s="1319" t="s">
        <v>623</v>
      </c>
      <c r="J22" s="1318" t="s">
        <v>54</v>
      </c>
      <c r="L22" s="17"/>
    </row>
    <row r="23" spans="2:12" ht="48.75" customHeight="1" thickBot="1">
      <c r="B23" s="175"/>
      <c r="C23" s="621">
        <v>1</v>
      </c>
      <c r="D23" s="605" t="s">
        <v>1938</v>
      </c>
      <c r="E23" s="606" t="s">
        <v>1190</v>
      </c>
      <c r="F23" s="740" t="s">
        <v>1918</v>
      </c>
      <c r="G23" s="740" t="s">
        <v>1918</v>
      </c>
      <c r="H23" s="740">
        <v>0</v>
      </c>
      <c r="I23" s="804"/>
      <c r="J23" s="803" t="s">
        <v>1940</v>
      </c>
      <c r="L23" s="17"/>
    </row>
    <row r="24" spans="2:12" ht="90.75" customHeight="1" thickBot="1">
      <c r="B24" s="175"/>
      <c r="C24" s="621">
        <v>2</v>
      </c>
      <c r="D24" s="611" t="s">
        <v>1939</v>
      </c>
      <c r="E24" s="609" t="s">
        <v>1190</v>
      </c>
      <c r="F24" s="808">
        <v>1</v>
      </c>
      <c r="G24" s="808">
        <v>1</v>
      </c>
      <c r="H24" s="809">
        <v>0</v>
      </c>
      <c r="I24" s="810">
        <v>0.15</v>
      </c>
      <c r="J24" s="807" t="s">
        <v>1997</v>
      </c>
      <c r="L24" s="17"/>
    </row>
    <row r="25" spans="2:12" ht="94.5" customHeight="1" thickBot="1">
      <c r="B25" s="175"/>
      <c r="C25" s="607">
        <v>3</v>
      </c>
      <c r="D25" s="612" t="s">
        <v>1860</v>
      </c>
      <c r="E25" s="610" t="s">
        <v>1190</v>
      </c>
      <c r="F25" s="538">
        <v>1</v>
      </c>
      <c r="G25" s="538">
        <v>1</v>
      </c>
      <c r="H25" s="724">
        <v>0.17</v>
      </c>
      <c r="I25" s="613">
        <v>0.15</v>
      </c>
      <c r="J25" s="806" t="s">
        <v>1998</v>
      </c>
      <c r="K25" s="568"/>
      <c r="L25" s="17"/>
    </row>
    <row r="26" spans="2:12" ht="77.25" customHeight="1" thickBot="1">
      <c r="B26" s="175"/>
      <c r="C26" s="607">
        <v>4</v>
      </c>
      <c r="D26" s="614" t="s">
        <v>1862</v>
      </c>
      <c r="E26" s="610" t="s">
        <v>1868</v>
      </c>
      <c r="F26" s="538">
        <v>1</v>
      </c>
      <c r="G26" s="538">
        <v>1</v>
      </c>
      <c r="H26" s="724">
        <v>0.16</v>
      </c>
      <c r="I26" s="613">
        <v>0.14000000000000001</v>
      </c>
      <c r="J26" s="805" t="s">
        <v>1999</v>
      </c>
      <c r="L26" s="17"/>
    </row>
    <row r="27" spans="2:12" ht="96.6" thickBot="1">
      <c r="B27" s="175"/>
      <c r="C27" s="607">
        <v>5</v>
      </c>
      <c r="D27" s="614" t="s">
        <v>1864</v>
      </c>
      <c r="E27" s="610" t="s">
        <v>1868</v>
      </c>
      <c r="F27" s="538">
        <v>1</v>
      </c>
      <c r="G27" s="538">
        <v>1</v>
      </c>
      <c r="H27" s="724">
        <v>0.16</v>
      </c>
      <c r="I27" s="613">
        <v>0.14000000000000001</v>
      </c>
      <c r="J27" s="805" t="s">
        <v>2000</v>
      </c>
      <c r="L27" s="17"/>
    </row>
    <row r="28" spans="2:12" ht="68.25" customHeight="1" thickBot="1">
      <c r="B28" s="175"/>
      <c r="C28" s="607">
        <v>6</v>
      </c>
      <c r="D28" s="614" t="s">
        <v>1866</v>
      </c>
      <c r="E28" s="610" t="s">
        <v>1868</v>
      </c>
      <c r="F28" s="538">
        <v>1</v>
      </c>
      <c r="G28" s="538">
        <v>1</v>
      </c>
      <c r="H28" s="724">
        <v>0.17</v>
      </c>
      <c r="I28" s="613">
        <v>0.14000000000000001</v>
      </c>
      <c r="J28" s="805" t="s">
        <v>2001</v>
      </c>
      <c r="L28" s="17"/>
    </row>
    <row r="29" spans="2:12" ht="105" customHeight="1" thickBot="1">
      <c r="B29" s="175"/>
      <c r="C29" s="607">
        <v>7</v>
      </c>
      <c r="D29" s="615" t="s">
        <v>1869</v>
      </c>
      <c r="E29" s="610" t="s">
        <v>1871</v>
      </c>
      <c r="F29" s="538">
        <v>1</v>
      </c>
      <c r="G29" s="538">
        <v>1</v>
      </c>
      <c r="H29" s="724">
        <v>0.17</v>
      </c>
      <c r="I29" s="613">
        <v>0.14000000000000001</v>
      </c>
      <c r="J29" s="805" t="s">
        <v>2002</v>
      </c>
      <c r="L29" s="17"/>
    </row>
    <row r="30" spans="2:12" ht="36.6" thickBot="1">
      <c r="B30" s="175"/>
      <c r="C30" s="607">
        <v>8</v>
      </c>
      <c r="D30" s="616" t="s">
        <v>1873</v>
      </c>
      <c r="E30" s="610" t="s">
        <v>1868</v>
      </c>
      <c r="F30" s="538"/>
      <c r="G30" s="538"/>
      <c r="H30" s="724"/>
      <c r="I30" s="613">
        <f t="shared" ref="I30" si="0">+G30*H30</f>
        <v>0</v>
      </c>
      <c r="J30" s="805" t="s">
        <v>1940</v>
      </c>
      <c r="L30" s="17"/>
    </row>
    <row r="31" spans="2:12" ht="144.6" thickBot="1">
      <c r="B31" s="175"/>
      <c r="C31" s="607">
        <v>9</v>
      </c>
      <c r="D31" s="617" t="s">
        <v>1875</v>
      </c>
      <c r="E31" s="618" t="s">
        <v>1877</v>
      </c>
      <c r="F31" s="619">
        <v>1</v>
      </c>
      <c r="G31" s="619">
        <v>1</v>
      </c>
      <c r="H31" s="741">
        <v>0.17</v>
      </c>
      <c r="I31" s="620">
        <v>0.14000000000000001</v>
      </c>
      <c r="J31" s="805" t="s">
        <v>2003</v>
      </c>
      <c r="L31" s="17"/>
    </row>
    <row r="32" spans="2:12" ht="28.5" customHeight="1" thickBot="1">
      <c r="B32" s="175"/>
      <c r="C32" s="73"/>
      <c r="D32" s="31"/>
      <c r="E32" s="31" t="s">
        <v>150</v>
      </c>
      <c r="F32" s="31"/>
      <c r="G32" s="31"/>
      <c r="H32" s="608">
        <f>Formulas!$D$23</f>
        <v>1</v>
      </c>
      <c r="I32" s="293">
        <f>Formulas!$E$23</f>
        <v>1</v>
      </c>
      <c r="J32" s="25"/>
      <c r="L32" s="17"/>
    </row>
    <row r="33" spans="2:12">
      <c r="B33" s="175"/>
      <c r="C33" s="71"/>
      <c r="D33" s="1441" t="s">
        <v>625</v>
      </c>
      <c r="E33" s="1442"/>
      <c r="F33" s="1442"/>
      <c r="G33" s="1442"/>
      <c r="H33" s="1442"/>
      <c r="I33" s="1442"/>
      <c r="J33" s="1442"/>
      <c r="K33" s="1442"/>
      <c r="L33" s="1607"/>
    </row>
    <row r="34" spans="2:12">
      <c r="B34" s="175"/>
      <c r="C34" s="71"/>
      <c r="D34" s="1453" t="s">
        <v>245</v>
      </c>
      <c r="E34" s="1454"/>
      <c r="F34" s="1454"/>
      <c r="G34" s="1454"/>
      <c r="H34" s="1454"/>
      <c r="I34" s="1454"/>
      <c r="J34" s="1454"/>
      <c r="K34" s="1454"/>
      <c r="L34" s="1608"/>
    </row>
    <row r="35" spans="2:12" ht="22.5" customHeight="1" thickBot="1">
      <c r="B35" s="175"/>
      <c r="C35" s="71"/>
      <c r="D35" s="1444" t="s">
        <v>761</v>
      </c>
      <c r="E35" s="1445"/>
      <c r="F35" s="1445"/>
      <c r="G35" s="1445"/>
      <c r="H35" s="1445"/>
      <c r="I35" s="1445"/>
      <c r="J35" s="1445"/>
      <c r="K35" s="1445"/>
      <c r="L35" s="1699"/>
    </row>
    <row r="36" spans="2:12" ht="15" thickBot="1">
      <c r="B36" s="175"/>
      <c r="C36" s="1562" t="s">
        <v>18</v>
      </c>
      <c r="D36" s="1703" t="s">
        <v>269</v>
      </c>
      <c r="E36" s="1703" t="s">
        <v>618</v>
      </c>
      <c r="F36" s="1705" t="s">
        <v>687</v>
      </c>
      <c r="G36" s="1706"/>
      <c r="H36" s="1706"/>
      <c r="I36" s="1706"/>
      <c r="J36" s="1706"/>
      <c r="K36" s="1707"/>
      <c r="L36" s="95"/>
    </row>
    <row r="37" spans="2:12" ht="39.75" customHeight="1" thickBot="1">
      <c r="B37" s="175"/>
      <c r="C37" s="1563"/>
      <c r="D37" s="1704"/>
      <c r="E37" s="1704"/>
      <c r="F37" s="750" t="s">
        <v>762</v>
      </c>
      <c r="G37" s="443" t="s">
        <v>343</v>
      </c>
      <c r="H37" s="443" t="s">
        <v>273</v>
      </c>
      <c r="I37" s="443" t="s">
        <v>274</v>
      </c>
      <c r="J37" s="443" t="s">
        <v>763</v>
      </c>
      <c r="K37" s="443" t="s">
        <v>764</v>
      </c>
      <c r="L37" s="8"/>
    </row>
    <row r="38" spans="2:12" ht="36.6" thickBot="1">
      <c r="B38" s="175"/>
      <c r="C38" s="746"/>
      <c r="D38" s="745" t="s">
        <v>1860</v>
      </c>
      <c r="E38" s="742" t="s">
        <v>1861</v>
      </c>
      <c r="F38" s="747">
        <v>12075370369</v>
      </c>
      <c r="G38" s="747">
        <v>12075370369</v>
      </c>
      <c r="H38" s="869">
        <v>12065475256</v>
      </c>
      <c r="I38" s="747">
        <v>1237271042</v>
      </c>
      <c r="J38" s="743">
        <f>+H38/G38</f>
        <v>0.99918055407845685</v>
      </c>
      <c r="K38" s="625">
        <f>+I38/H38</f>
        <v>0.10254639918843823</v>
      </c>
      <c r="L38" s="8"/>
    </row>
    <row r="39" spans="2:12" ht="26.25" customHeight="1" thickBot="1">
      <c r="B39" s="175"/>
      <c r="C39" s="622"/>
      <c r="D39" s="744" t="s">
        <v>1938</v>
      </c>
      <c r="E39" s="610"/>
      <c r="F39" s="748"/>
      <c r="G39" s="748"/>
      <c r="H39" s="870"/>
      <c r="I39" s="748"/>
      <c r="J39" s="743"/>
      <c r="K39" s="625" t="e">
        <f>+I39/H39</f>
        <v>#DIV/0!</v>
      </c>
      <c r="L39" s="8"/>
    </row>
    <row r="40" spans="2:12" ht="36.6" thickBot="1">
      <c r="B40" s="175"/>
      <c r="C40" s="623"/>
      <c r="D40" s="614" t="s">
        <v>1862</v>
      </c>
      <c r="E40" s="610" t="s">
        <v>1863</v>
      </c>
      <c r="F40" s="748">
        <v>4368348000</v>
      </c>
      <c r="G40" s="748">
        <v>4368348000</v>
      </c>
      <c r="H40" s="748">
        <v>4368348000</v>
      </c>
      <c r="I40" s="748">
        <v>4346023000</v>
      </c>
      <c r="J40" s="613">
        <f t="shared" ref="J40:J46" si="1">+H40/G40</f>
        <v>1</v>
      </c>
      <c r="K40" s="539">
        <f t="shared" ref="K40:K46" si="2">+I40/H40</f>
        <v>0.9948893723668536</v>
      </c>
      <c r="L40" s="8"/>
    </row>
    <row r="41" spans="2:12" ht="48.6" thickBot="1">
      <c r="B41" s="175"/>
      <c r="C41" s="623"/>
      <c r="D41" s="624" t="s">
        <v>1864</v>
      </c>
      <c r="E41" s="610" t="s">
        <v>1865</v>
      </c>
      <c r="F41" s="748"/>
      <c r="G41" s="748">
        <v>0</v>
      </c>
      <c r="H41" s="870">
        <v>0</v>
      </c>
      <c r="I41" s="748"/>
      <c r="J41" s="613" t="e">
        <f t="shared" si="1"/>
        <v>#DIV/0!</v>
      </c>
      <c r="K41" s="539" t="e">
        <f t="shared" si="2"/>
        <v>#DIV/0!</v>
      </c>
      <c r="L41" s="8"/>
    </row>
    <row r="42" spans="2:12" ht="36.6" thickBot="1">
      <c r="B42" s="175"/>
      <c r="C42" s="623"/>
      <c r="D42" s="624" t="s">
        <v>1866</v>
      </c>
      <c r="E42" s="610" t="s">
        <v>1867</v>
      </c>
      <c r="F42" s="748">
        <v>33344352505</v>
      </c>
      <c r="G42" s="748">
        <v>33344352505</v>
      </c>
      <c r="H42" s="748">
        <v>33344352505</v>
      </c>
      <c r="I42" s="748">
        <v>33344352505</v>
      </c>
      <c r="J42" s="613">
        <f t="shared" si="1"/>
        <v>1</v>
      </c>
      <c r="K42" s="539">
        <f t="shared" si="2"/>
        <v>1</v>
      </c>
      <c r="L42" s="8"/>
    </row>
    <row r="43" spans="2:12" ht="36.6" thickBot="1">
      <c r="B43" s="175"/>
      <c r="C43" s="623"/>
      <c r="D43" s="624" t="s">
        <v>1869</v>
      </c>
      <c r="E43" s="610" t="s">
        <v>1870</v>
      </c>
      <c r="F43" s="748">
        <v>350000000</v>
      </c>
      <c r="G43" s="748">
        <v>350000000</v>
      </c>
      <c r="H43" s="748">
        <v>350000000</v>
      </c>
      <c r="I43" s="748">
        <v>325241342</v>
      </c>
      <c r="J43" s="613">
        <f t="shared" si="1"/>
        <v>1</v>
      </c>
      <c r="K43" s="539">
        <f t="shared" si="2"/>
        <v>0.92926097714285716</v>
      </c>
      <c r="L43" s="8"/>
    </row>
    <row r="44" spans="2:12" ht="36.6" thickBot="1">
      <c r="B44" s="175"/>
      <c r="C44" s="623"/>
      <c r="D44" s="624" t="s">
        <v>1873</v>
      </c>
      <c r="E44" s="610" t="s">
        <v>1874</v>
      </c>
      <c r="F44" s="748"/>
      <c r="G44" s="748"/>
      <c r="H44" s="870"/>
      <c r="I44" s="748"/>
      <c r="J44" s="613"/>
      <c r="K44" s="539"/>
      <c r="L44" s="8"/>
    </row>
    <row r="45" spans="2:12" ht="36.6" thickBot="1">
      <c r="B45" s="175"/>
      <c r="C45" s="623"/>
      <c r="D45" s="617" t="s">
        <v>1875</v>
      </c>
      <c r="E45" s="618" t="s">
        <v>1876</v>
      </c>
      <c r="F45" s="749">
        <v>300000000</v>
      </c>
      <c r="G45" s="749">
        <v>300000000</v>
      </c>
      <c r="H45" s="749">
        <v>300000000</v>
      </c>
      <c r="I45" s="749">
        <v>13625115</v>
      </c>
      <c r="J45" s="620">
        <f t="shared" si="1"/>
        <v>1</v>
      </c>
      <c r="K45" s="539">
        <f t="shared" si="2"/>
        <v>4.541705E-2</v>
      </c>
      <c r="L45" s="8"/>
    </row>
    <row r="46" spans="2:12" ht="27" customHeight="1" thickBot="1">
      <c r="B46" s="175"/>
      <c r="C46" s="159"/>
      <c r="D46" s="208"/>
      <c r="E46" s="702" t="s">
        <v>150</v>
      </c>
      <c r="F46" s="868"/>
      <c r="G46" s="857">
        <f>SUM(G38:G45)</f>
        <v>50438070874</v>
      </c>
      <c r="H46" s="857">
        <f>SUM(H38:H45)</f>
        <v>50428175761</v>
      </c>
      <c r="I46" s="857">
        <f>SUM(I38:I45)</f>
        <v>39266513004</v>
      </c>
      <c r="J46" s="539">
        <f t="shared" si="1"/>
        <v>0.99980381658480322</v>
      </c>
      <c r="K46" s="539">
        <f t="shared" si="2"/>
        <v>0.77866217469575461</v>
      </c>
      <c r="L46" s="96"/>
    </row>
    <row r="47" spans="2:12" ht="28.5" customHeight="1" thickBot="1">
      <c r="B47" s="37"/>
      <c r="C47" s="72"/>
      <c r="D47" s="1472" t="s">
        <v>625</v>
      </c>
      <c r="E47" s="1473"/>
      <c r="F47" s="1473"/>
      <c r="G47" s="1473"/>
      <c r="H47" s="1473"/>
      <c r="I47" s="1473"/>
      <c r="J47" s="1473"/>
      <c r="K47" s="1473"/>
      <c r="L47" s="1609"/>
    </row>
    <row r="48" spans="2:12" ht="15" thickBot="1">
      <c r="B48" s="29"/>
      <c r="C48" s="67"/>
      <c r="D48" s="5"/>
      <c r="E48" s="5"/>
      <c r="F48" s="5"/>
      <c r="G48" s="5"/>
      <c r="H48" s="5"/>
      <c r="I48" s="5"/>
      <c r="J48" s="5"/>
      <c r="K48" s="5"/>
    </row>
    <row r="49" spans="2:11" ht="60.6" thickBot="1">
      <c r="B49" s="42" t="s">
        <v>33</v>
      </c>
      <c r="C49" s="77"/>
      <c r="D49" s="34" t="s">
        <v>765</v>
      </c>
      <c r="E49" s="5"/>
      <c r="F49" s="5"/>
      <c r="G49" s="5"/>
      <c r="H49" s="5"/>
      <c r="I49" s="5"/>
      <c r="J49" s="5"/>
      <c r="K49" s="5"/>
    </row>
    <row r="50" spans="2:11" ht="60.6" thickBot="1">
      <c r="B50" s="42" t="s">
        <v>35</v>
      </c>
      <c r="C50" s="159"/>
      <c r="D50" s="42" t="s">
        <v>345</v>
      </c>
      <c r="E50" s="5"/>
      <c r="F50" s="5"/>
      <c r="G50" s="5"/>
      <c r="H50" s="5"/>
      <c r="I50" s="5"/>
      <c r="J50" s="5"/>
      <c r="K50" s="5"/>
    </row>
    <row r="51" spans="2:11" ht="15" thickBot="1">
      <c r="B51" s="1"/>
      <c r="C51" s="64"/>
      <c r="D51" s="5"/>
      <c r="E51" s="5"/>
      <c r="F51" s="5"/>
      <c r="G51" s="5"/>
      <c r="H51" s="5"/>
      <c r="I51" s="5"/>
      <c r="J51" s="5"/>
      <c r="K51" s="5"/>
    </row>
    <row r="52" spans="2:11" ht="24" customHeight="1" thickBot="1">
      <c r="B52" s="1469" t="s">
        <v>37</v>
      </c>
      <c r="C52" s="1470"/>
      <c r="D52" s="1470"/>
      <c r="E52" s="1471"/>
      <c r="F52" s="5"/>
      <c r="G52" s="5"/>
      <c r="H52" s="5"/>
      <c r="I52" s="5"/>
      <c r="J52" s="5"/>
      <c r="K52" s="5"/>
    </row>
    <row r="53" spans="2:11" ht="15" thickBot="1">
      <c r="B53" s="1459">
        <v>1</v>
      </c>
      <c r="C53" s="73"/>
      <c r="D53" s="38" t="s">
        <v>38</v>
      </c>
      <c r="E53" s="25" t="s">
        <v>1814</v>
      </c>
      <c r="F53" s="5"/>
      <c r="G53" s="5"/>
      <c r="H53" s="5"/>
      <c r="I53" s="5"/>
      <c r="J53" s="5"/>
      <c r="K53" s="5"/>
    </row>
    <row r="54" spans="2:11" ht="15" thickBot="1">
      <c r="B54" s="1460"/>
      <c r="C54" s="73"/>
      <c r="D54" s="32" t="s">
        <v>39</v>
      </c>
      <c r="E54" s="24" t="s">
        <v>1824</v>
      </c>
      <c r="F54" s="5"/>
      <c r="G54" s="5"/>
      <c r="H54" s="5"/>
      <c r="I54" s="5"/>
      <c r="J54" s="5"/>
      <c r="K54" s="5"/>
    </row>
    <row r="55" spans="2:11" ht="15" thickBot="1">
      <c r="B55" s="1460"/>
      <c r="C55" s="73"/>
      <c r="D55" s="32" t="s">
        <v>40</v>
      </c>
      <c r="E55" s="24" t="s">
        <v>2037</v>
      </c>
      <c r="F55" s="5"/>
      <c r="G55" s="5"/>
      <c r="H55" s="5"/>
      <c r="I55" s="5"/>
      <c r="J55" s="5"/>
      <c r="K55" s="5"/>
    </row>
    <row r="56" spans="2:11" ht="15" thickBot="1">
      <c r="B56" s="1460"/>
      <c r="C56" s="73"/>
      <c r="D56" s="32" t="s">
        <v>41</v>
      </c>
      <c r="E56" s="24" t="s">
        <v>2050</v>
      </c>
      <c r="F56" s="5"/>
      <c r="G56" s="5"/>
      <c r="H56" s="5"/>
      <c r="I56" s="5"/>
      <c r="J56" s="5"/>
      <c r="K56" s="5"/>
    </row>
    <row r="57" spans="2:11" ht="15" thickBot="1">
      <c r="B57" s="1460"/>
      <c r="C57" s="73"/>
      <c r="D57" s="32" t="s">
        <v>42</v>
      </c>
      <c r="E57" s="507" t="s">
        <v>1825</v>
      </c>
      <c r="F57" s="5"/>
      <c r="G57" s="5"/>
      <c r="H57" s="5"/>
      <c r="I57" s="5"/>
      <c r="J57" s="5"/>
      <c r="K57" s="5"/>
    </row>
    <row r="58" spans="2:11" ht="15" thickBot="1">
      <c r="B58" s="1460"/>
      <c r="C58" s="73"/>
      <c r="D58" s="32" t="s">
        <v>43</v>
      </c>
      <c r="E58" s="24" t="s">
        <v>1826</v>
      </c>
      <c r="F58" s="5"/>
      <c r="G58" s="5"/>
      <c r="H58" s="5"/>
      <c r="I58" s="5"/>
      <c r="J58" s="5"/>
      <c r="K58" s="5"/>
    </row>
    <row r="59" spans="2:11" ht="15" thickBot="1">
      <c r="B59" s="1461"/>
      <c r="C59" s="2"/>
      <c r="D59" s="32" t="s">
        <v>44</v>
      </c>
      <c r="E59" s="24" t="s">
        <v>1817</v>
      </c>
      <c r="F59" s="5"/>
      <c r="G59" s="5"/>
      <c r="H59" s="5"/>
      <c r="I59" s="5"/>
      <c r="J59" s="5"/>
      <c r="K59" s="5"/>
    </row>
    <row r="60" spans="2:11" ht="15" thickBot="1">
      <c r="B60" s="1"/>
      <c r="C60" s="64"/>
      <c r="D60" s="5"/>
      <c r="E60" s="5"/>
      <c r="F60" s="5"/>
      <c r="G60" s="5"/>
      <c r="H60" s="5"/>
      <c r="I60" s="5"/>
      <c r="J60" s="5"/>
      <c r="K60" s="5"/>
    </row>
    <row r="61" spans="2:11" ht="15" thickBot="1">
      <c r="B61" s="1469" t="s">
        <v>45</v>
      </c>
      <c r="C61" s="1470"/>
      <c r="D61" s="1470"/>
      <c r="E61" s="1471"/>
      <c r="F61" s="5"/>
      <c r="G61" s="5"/>
      <c r="H61" s="5"/>
      <c r="I61" s="5"/>
      <c r="J61" s="5"/>
      <c r="K61" s="5"/>
    </row>
    <row r="62" spans="2:11" ht="15" thickBot="1">
      <c r="B62" s="1459">
        <v>1</v>
      </c>
      <c r="C62" s="73"/>
      <c r="D62" s="38" t="s">
        <v>38</v>
      </c>
      <c r="E62" s="104" t="s">
        <v>46</v>
      </c>
      <c r="F62" s="5"/>
      <c r="G62" s="5"/>
      <c r="H62" s="5"/>
      <c r="I62" s="5"/>
      <c r="J62" s="5"/>
      <c r="K62" s="5"/>
    </row>
    <row r="63" spans="2:11" ht="15" thickBot="1">
      <c r="B63" s="1460"/>
      <c r="C63" s="73"/>
      <c r="D63" s="32" t="s">
        <v>39</v>
      </c>
      <c r="E63" s="140" t="s">
        <v>159</v>
      </c>
      <c r="F63" s="5"/>
      <c r="G63" s="5"/>
      <c r="H63" s="5"/>
      <c r="I63" s="5"/>
      <c r="J63" s="5"/>
      <c r="K63" s="5"/>
    </row>
    <row r="64" spans="2:11" ht="15" thickBot="1">
      <c r="B64" s="1460"/>
      <c r="C64" s="73"/>
      <c r="D64" s="32" t="s">
        <v>40</v>
      </c>
      <c r="E64" s="141"/>
      <c r="F64" s="5"/>
      <c r="G64" s="5"/>
      <c r="H64" s="5"/>
      <c r="I64" s="5"/>
      <c r="J64" s="5"/>
      <c r="K64" s="5"/>
    </row>
    <row r="65" spans="2:11" ht="15" thickBot="1">
      <c r="B65" s="1460"/>
      <c r="C65" s="73"/>
      <c r="D65" s="32" t="s">
        <v>41</v>
      </c>
      <c r="E65" s="141"/>
      <c r="F65" s="5"/>
      <c r="G65" s="5"/>
      <c r="H65" s="5"/>
      <c r="I65" s="5"/>
      <c r="J65" s="5"/>
      <c r="K65" s="5"/>
    </row>
    <row r="66" spans="2:11" ht="15" thickBot="1">
      <c r="B66" s="1460"/>
      <c r="C66" s="73"/>
      <c r="D66" s="32" t="s">
        <v>42</v>
      </c>
      <c r="E66" s="141"/>
      <c r="F66" s="5"/>
      <c r="G66" s="5"/>
      <c r="H66" s="5"/>
      <c r="I66" s="5"/>
      <c r="J66" s="5"/>
      <c r="K66" s="5"/>
    </row>
    <row r="67" spans="2:11" ht="15" thickBot="1">
      <c r="B67" s="1460"/>
      <c r="C67" s="73"/>
      <c r="D67" s="32" t="s">
        <v>43</v>
      </c>
      <c r="E67" s="141"/>
      <c r="F67" s="5"/>
      <c r="G67" s="5"/>
      <c r="H67" s="5"/>
      <c r="I67" s="5"/>
      <c r="J67" s="5"/>
      <c r="K67" s="5"/>
    </row>
    <row r="68" spans="2:11" ht="15" thickBot="1">
      <c r="B68" s="1461"/>
      <c r="C68" s="2"/>
      <c r="D68" s="32" t="s">
        <v>44</v>
      </c>
      <c r="E68" s="141"/>
      <c r="F68" s="5"/>
      <c r="G68" s="5"/>
      <c r="H68" s="5"/>
      <c r="I68" s="5"/>
      <c r="J68" s="5"/>
      <c r="K68" s="5"/>
    </row>
    <row r="69" spans="2:11" ht="15" thickBot="1">
      <c r="B69" s="1"/>
      <c r="C69" s="64"/>
      <c r="D69" s="5"/>
      <c r="E69" s="5"/>
      <c r="F69" s="5"/>
      <c r="G69" s="5"/>
      <c r="H69" s="5"/>
      <c r="I69" s="5"/>
      <c r="J69" s="5"/>
      <c r="K69" s="5"/>
    </row>
    <row r="70" spans="2:11" ht="15" customHeight="1" thickBot="1">
      <c r="B70" s="100" t="s">
        <v>48</v>
      </c>
      <c r="C70" s="101"/>
      <c r="D70" s="101"/>
      <c r="E70" s="102"/>
      <c r="G70" s="5"/>
      <c r="H70" s="5"/>
      <c r="I70" s="5"/>
      <c r="J70" s="5"/>
      <c r="K70" s="5"/>
    </row>
    <row r="71" spans="2:11" ht="24.6" thickBot="1">
      <c r="B71" s="37" t="s">
        <v>49</v>
      </c>
      <c r="C71" s="32" t="s">
        <v>50</v>
      </c>
      <c r="D71" s="32" t="s">
        <v>51</v>
      </c>
      <c r="E71" s="32" t="s">
        <v>52</v>
      </c>
      <c r="F71" s="5"/>
      <c r="G71" s="5"/>
      <c r="H71" s="5"/>
      <c r="I71" s="5"/>
      <c r="J71" s="5"/>
    </row>
    <row r="72" spans="2:11" ht="60.6" thickBot="1">
      <c r="B72" s="39">
        <v>42401</v>
      </c>
      <c r="C72" s="32">
        <v>1</v>
      </c>
      <c r="D72" s="32" t="s">
        <v>766</v>
      </c>
      <c r="E72" s="32"/>
      <c r="F72" s="5"/>
      <c r="G72" s="5"/>
      <c r="H72" s="5"/>
      <c r="I72" s="5"/>
      <c r="J72" s="5"/>
    </row>
    <row r="73" spans="2:11" ht="15" thickBot="1">
      <c r="B73" s="3"/>
      <c r="C73" s="74"/>
      <c r="D73" s="5"/>
      <c r="E73" s="5"/>
      <c r="F73" s="5"/>
      <c r="G73" s="5"/>
      <c r="H73" s="5"/>
      <c r="I73" s="5"/>
      <c r="J73" s="5"/>
      <c r="K73" s="5"/>
    </row>
    <row r="74" spans="2:11" ht="15" thickBot="1">
      <c r="B74" s="106" t="s">
        <v>54</v>
      </c>
      <c r="C74" s="75"/>
      <c r="D74" s="5"/>
      <c r="E74" s="5"/>
      <c r="F74" s="5"/>
      <c r="G74" s="5"/>
      <c r="H74" s="5"/>
      <c r="I74" s="5"/>
      <c r="J74" s="5"/>
      <c r="K74" s="5"/>
    </row>
    <row r="75" spans="2:11">
      <c r="B75" s="1708"/>
      <c r="C75" s="1709"/>
      <c r="D75" s="1709"/>
      <c r="E75" s="1710"/>
      <c r="F75" s="5"/>
      <c r="G75" s="5"/>
      <c r="H75" s="5"/>
      <c r="I75" s="5"/>
      <c r="J75" s="5"/>
      <c r="K75" s="5"/>
    </row>
    <row r="76" spans="2:11" ht="15" thickBot="1">
      <c r="B76" s="1711"/>
      <c r="C76" s="1712"/>
      <c r="D76" s="1712"/>
      <c r="E76" s="1713"/>
      <c r="F76" s="5"/>
      <c r="G76" s="5"/>
      <c r="H76" s="5"/>
      <c r="I76" s="5"/>
      <c r="J76" s="5"/>
      <c r="K76" s="5"/>
    </row>
    <row r="77" spans="2:11" ht="15" thickBot="1">
      <c r="B77" s="5"/>
      <c r="D77" s="5"/>
      <c r="E77" s="5"/>
      <c r="F77" s="5"/>
      <c r="G77" s="5"/>
      <c r="H77" s="5"/>
      <c r="I77" s="5"/>
      <c r="J77" s="5"/>
      <c r="K77" s="5"/>
    </row>
    <row r="78" spans="2:11" ht="15" thickBot="1">
      <c r="B78" s="1469" t="s">
        <v>55</v>
      </c>
      <c r="C78" s="1470"/>
      <c r="D78" s="1471"/>
      <c r="E78" s="5"/>
      <c r="F78" s="5"/>
      <c r="G78" s="5"/>
      <c r="H78" s="5"/>
      <c r="I78" s="5"/>
      <c r="J78" s="5"/>
      <c r="K78" s="5"/>
    </row>
    <row r="79" spans="2:11" ht="60.6" thickBot="1">
      <c r="B79" s="37" t="s">
        <v>56</v>
      </c>
      <c r="C79" s="2"/>
      <c r="D79" s="32" t="s">
        <v>698</v>
      </c>
      <c r="E79" s="5"/>
      <c r="F79" s="5"/>
      <c r="G79" s="5"/>
      <c r="H79" s="5"/>
      <c r="I79" s="5"/>
      <c r="J79" s="5"/>
      <c r="K79" s="5"/>
    </row>
    <row r="80" spans="2:11">
      <c r="B80" s="1459" t="s">
        <v>58</v>
      </c>
      <c r="C80" s="73"/>
      <c r="D80" s="43" t="s">
        <v>59</v>
      </c>
      <c r="E80" s="5"/>
      <c r="F80" s="5"/>
      <c r="G80" s="5"/>
      <c r="H80" s="5"/>
      <c r="I80" s="5"/>
      <c r="J80" s="5"/>
      <c r="K80" s="5"/>
    </row>
    <row r="81" spans="2:11" ht="84">
      <c r="B81" s="1460"/>
      <c r="C81" s="73"/>
      <c r="D81" s="36" t="s">
        <v>699</v>
      </c>
      <c r="E81" s="5"/>
      <c r="F81" s="5"/>
      <c r="G81" s="5"/>
      <c r="H81" s="5"/>
      <c r="I81" s="5"/>
      <c r="J81" s="5"/>
      <c r="K81" s="5"/>
    </row>
    <row r="82" spans="2:11">
      <c r="B82" s="1460"/>
      <c r="C82" s="73"/>
      <c r="D82" s="43" t="s">
        <v>62</v>
      </c>
      <c r="E82" s="5"/>
      <c r="F82" s="5"/>
      <c r="G82" s="5"/>
      <c r="H82" s="5"/>
      <c r="I82" s="5"/>
      <c r="J82" s="5"/>
      <c r="K82" s="5"/>
    </row>
    <row r="83" spans="2:11">
      <c r="B83" s="1460"/>
      <c r="C83" s="73"/>
      <c r="D83" s="36" t="s">
        <v>63</v>
      </c>
      <c r="E83" s="5"/>
      <c r="F83" s="5"/>
      <c r="G83" s="5"/>
      <c r="H83" s="5"/>
      <c r="I83" s="5"/>
      <c r="J83" s="5"/>
      <c r="K83" s="5"/>
    </row>
    <row r="84" spans="2:11">
      <c r="B84" s="1460"/>
      <c r="C84" s="73"/>
      <c r="D84" s="36" t="s">
        <v>700</v>
      </c>
      <c r="E84" s="5"/>
      <c r="F84" s="5"/>
      <c r="G84" s="5"/>
      <c r="H84" s="5"/>
      <c r="I84" s="5"/>
      <c r="J84" s="5"/>
      <c r="K84" s="5"/>
    </row>
    <row r="85" spans="2:11">
      <c r="B85" s="1460"/>
      <c r="C85" s="73"/>
      <c r="D85" s="36" t="s">
        <v>64</v>
      </c>
      <c r="E85" s="5"/>
      <c r="F85" s="5"/>
      <c r="G85" s="5"/>
      <c r="H85" s="5"/>
      <c r="I85" s="5"/>
      <c r="J85" s="5"/>
      <c r="K85" s="5"/>
    </row>
    <row r="86" spans="2:11">
      <c r="B86" s="1460"/>
      <c r="C86" s="73"/>
      <c r="D86" s="36" t="s">
        <v>701</v>
      </c>
      <c r="E86" s="5"/>
      <c r="F86" s="5"/>
      <c r="G86" s="5"/>
      <c r="H86" s="5"/>
      <c r="I86" s="5"/>
      <c r="J86" s="5"/>
      <c r="K86" s="5"/>
    </row>
    <row r="87" spans="2:11" ht="24">
      <c r="B87" s="1460"/>
      <c r="C87" s="73"/>
      <c r="D87" s="36" t="s">
        <v>702</v>
      </c>
      <c r="E87" s="5"/>
      <c r="F87" s="5"/>
      <c r="G87" s="5"/>
      <c r="H87" s="5"/>
      <c r="I87" s="5"/>
      <c r="J87" s="5"/>
      <c r="K87" s="5"/>
    </row>
    <row r="88" spans="2:11">
      <c r="B88" s="1460"/>
      <c r="C88" s="73"/>
      <c r="D88" s="43" t="s">
        <v>287</v>
      </c>
      <c r="E88" s="5"/>
      <c r="F88" s="5"/>
      <c r="G88" s="5"/>
      <c r="H88" s="5"/>
      <c r="I88" s="5"/>
      <c r="J88" s="5"/>
      <c r="K88" s="5"/>
    </row>
    <row r="89" spans="2:11">
      <c r="B89" s="1460"/>
      <c r="C89" s="73"/>
      <c r="D89" s="36" t="s">
        <v>354</v>
      </c>
      <c r="E89" s="5"/>
      <c r="F89" s="5"/>
      <c r="G89" s="5"/>
      <c r="H89" s="5"/>
      <c r="I89" s="5"/>
      <c r="J89" s="5"/>
      <c r="K89" s="5"/>
    </row>
    <row r="90" spans="2:11">
      <c r="B90" s="1460"/>
      <c r="C90" s="73"/>
      <c r="D90" s="36" t="s">
        <v>703</v>
      </c>
      <c r="E90" s="5"/>
      <c r="F90" s="5"/>
      <c r="G90" s="5"/>
      <c r="H90" s="5"/>
      <c r="I90" s="5"/>
      <c r="J90" s="5"/>
      <c r="K90" s="5"/>
    </row>
    <row r="91" spans="2:11" ht="24">
      <c r="B91" s="1460"/>
      <c r="C91" s="73"/>
      <c r="D91" s="36" t="s">
        <v>704</v>
      </c>
      <c r="E91" s="5"/>
      <c r="F91" s="5"/>
      <c r="G91" s="5"/>
      <c r="H91" s="5"/>
      <c r="I91" s="5"/>
      <c r="J91" s="5"/>
      <c r="K91" s="5"/>
    </row>
    <row r="92" spans="2:11" ht="24">
      <c r="B92" s="1460"/>
      <c r="C92" s="73"/>
      <c r="D92" s="36" t="s">
        <v>705</v>
      </c>
      <c r="E92" s="5"/>
      <c r="F92" s="5"/>
      <c r="G92" s="5"/>
      <c r="H92" s="5"/>
      <c r="I92" s="5"/>
      <c r="J92" s="5"/>
      <c r="K92" s="5"/>
    </row>
    <row r="93" spans="2:11" ht="24">
      <c r="B93" s="1460"/>
      <c r="C93" s="73"/>
      <c r="D93" s="36" t="s">
        <v>706</v>
      </c>
      <c r="E93" s="5"/>
      <c r="F93" s="5"/>
      <c r="G93" s="5"/>
      <c r="H93" s="5"/>
      <c r="I93" s="5"/>
      <c r="J93" s="5"/>
      <c r="K93" s="5"/>
    </row>
    <row r="94" spans="2:11">
      <c r="B94" s="1460"/>
      <c r="C94" s="73"/>
      <c r="D94" s="36" t="s">
        <v>707</v>
      </c>
      <c r="E94" s="5"/>
      <c r="F94" s="5"/>
      <c r="G94" s="5"/>
      <c r="H94" s="5"/>
      <c r="I94" s="5"/>
      <c r="J94" s="5"/>
      <c r="K94" s="5"/>
    </row>
    <row r="95" spans="2:11">
      <c r="B95" s="1460"/>
      <c r="C95" s="73"/>
      <c r="D95" s="36" t="s">
        <v>708</v>
      </c>
      <c r="E95" s="5"/>
      <c r="F95" s="5"/>
      <c r="G95" s="5"/>
      <c r="H95" s="5"/>
      <c r="I95" s="5"/>
      <c r="J95" s="5"/>
      <c r="K95" s="5"/>
    </row>
    <row r="96" spans="2:11" ht="15" thickBot="1">
      <c r="B96" s="1461"/>
      <c r="C96" s="2"/>
      <c r="D96" s="32" t="s">
        <v>709</v>
      </c>
      <c r="E96" s="5"/>
      <c r="F96" s="5"/>
      <c r="G96" s="5"/>
      <c r="H96" s="5"/>
      <c r="I96" s="5"/>
      <c r="J96" s="5"/>
      <c r="K96" s="5"/>
    </row>
    <row r="97" spans="2:11" ht="24.6" thickBot="1">
      <c r="B97" s="37" t="s">
        <v>71</v>
      </c>
      <c r="C97" s="2"/>
      <c r="D97" s="32"/>
      <c r="E97" s="5"/>
      <c r="F97" s="5"/>
      <c r="G97" s="5"/>
      <c r="H97" s="5"/>
      <c r="I97" s="5"/>
      <c r="J97" s="5"/>
      <c r="K97" s="5"/>
    </row>
    <row r="98" spans="2:11" ht="216">
      <c r="B98" s="1459" t="s">
        <v>72</v>
      </c>
      <c r="C98" s="73"/>
      <c r="D98" s="36" t="s">
        <v>710</v>
      </c>
      <c r="E98" s="5"/>
      <c r="F98" s="5"/>
      <c r="G98" s="5"/>
      <c r="H98" s="5"/>
      <c r="I98" s="5"/>
      <c r="J98" s="5"/>
      <c r="K98" s="5"/>
    </row>
    <row r="99" spans="2:11" ht="24">
      <c r="B99" s="1460"/>
      <c r="C99" s="73"/>
      <c r="D99" s="36" t="s">
        <v>711</v>
      </c>
      <c r="E99" s="5"/>
      <c r="F99" s="5"/>
      <c r="G99" s="5"/>
      <c r="H99" s="5"/>
      <c r="I99" s="5"/>
      <c r="J99" s="5"/>
      <c r="K99" s="5"/>
    </row>
    <row r="100" spans="2:11" ht="96">
      <c r="B100" s="1460"/>
      <c r="C100" s="73"/>
      <c r="D100" s="36" t="s">
        <v>712</v>
      </c>
      <c r="E100" s="5"/>
      <c r="F100" s="5"/>
      <c r="G100" s="5"/>
      <c r="H100" s="5"/>
      <c r="I100" s="5"/>
      <c r="J100" s="5"/>
      <c r="K100" s="5"/>
    </row>
    <row r="101" spans="2:11" ht="324">
      <c r="B101" s="1460"/>
      <c r="C101" s="73"/>
      <c r="D101" s="36" t="s">
        <v>713</v>
      </c>
      <c r="E101" s="5"/>
      <c r="F101" s="5"/>
      <c r="G101" s="5"/>
      <c r="H101" s="5"/>
      <c r="I101" s="5"/>
      <c r="J101" s="5"/>
      <c r="K101" s="5"/>
    </row>
    <row r="102" spans="2:11" ht="168">
      <c r="B102" s="1460"/>
      <c r="C102" s="73"/>
      <c r="D102" s="36" t="s">
        <v>714</v>
      </c>
      <c r="E102" s="5"/>
      <c r="F102" s="5"/>
      <c r="G102" s="5"/>
      <c r="H102" s="5"/>
      <c r="I102" s="5"/>
      <c r="J102" s="5"/>
      <c r="K102" s="5"/>
    </row>
    <row r="103" spans="2:11" ht="60">
      <c r="B103" s="1460"/>
      <c r="C103" s="73"/>
      <c r="D103" s="36" t="s">
        <v>715</v>
      </c>
      <c r="E103" s="5"/>
      <c r="F103" s="5"/>
      <c r="G103" s="5"/>
      <c r="H103" s="5"/>
      <c r="I103" s="5"/>
      <c r="J103" s="5"/>
      <c r="K103" s="5"/>
    </row>
    <row r="104" spans="2:11" ht="24">
      <c r="B104" s="1460"/>
      <c r="C104" s="73"/>
      <c r="D104" s="36" t="s">
        <v>716</v>
      </c>
      <c r="E104" s="5"/>
      <c r="F104" s="5"/>
      <c r="G104" s="5"/>
      <c r="H104" s="5"/>
      <c r="I104" s="5"/>
      <c r="J104" s="5"/>
      <c r="K104" s="5"/>
    </row>
    <row r="105" spans="2:11" ht="24">
      <c r="B105" s="1460"/>
      <c r="C105" s="73"/>
      <c r="D105" s="36" t="s">
        <v>717</v>
      </c>
      <c r="E105" s="5"/>
      <c r="F105" s="5"/>
      <c r="G105" s="5"/>
      <c r="H105" s="5"/>
      <c r="I105" s="5"/>
      <c r="J105" s="5"/>
      <c r="K105" s="5"/>
    </row>
    <row r="106" spans="2:11" ht="24">
      <c r="B106" s="1460"/>
      <c r="C106" s="73"/>
      <c r="D106" s="36" t="s">
        <v>718</v>
      </c>
      <c r="E106" s="5"/>
      <c r="F106" s="5"/>
      <c r="G106" s="5"/>
      <c r="H106" s="5"/>
      <c r="I106" s="5"/>
      <c r="J106" s="5"/>
      <c r="K106" s="5"/>
    </row>
    <row r="107" spans="2:11" ht="72">
      <c r="B107" s="1460"/>
      <c r="C107" s="73"/>
      <c r="D107" s="36" t="s">
        <v>719</v>
      </c>
      <c r="E107" s="5"/>
      <c r="F107" s="5"/>
      <c r="G107" s="5"/>
      <c r="H107" s="5"/>
      <c r="I107" s="5"/>
      <c r="J107" s="5"/>
      <c r="K107" s="5"/>
    </row>
    <row r="108" spans="2:11" ht="24">
      <c r="B108" s="1460"/>
      <c r="C108" s="73"/>
      <c r="D108" s="36" t="s">
        <v>720</v>
      </c>
      <c r="E108" s="5"/>
      <c r="F108" s="5"/>
      <c r="G108" s="5"/>
      <c r="H108" s="5"/>
      <c r="I108" s="5"/>
      <c r="J108" s="5"/>
      <c r="K108" s="5"/>
    </row>
    <row r="109" spans="2:11" ht="24">
      <c r="B109" s="1460"/>
      <c r="C109" s="73"/>
      <c r="D109" s="36" t="s">
        <v>721</v>
      </c>
      <c r="E109" s="5"/>
      <c r="F109" s="5"/>
      <c r="G109" s="5"/>
      <c r="H109" s="5"/>
      <c r="I109" s="5"/>
      <c r="J109" s="5"/>
      <c r="K109" s="5"/>
    </row>
    <row r="110" spans="2:11">
      <c r="B110" s="1460"/>
      <c r="C110" s="73"/>
      <c r="D110" s="36" t="s">
        <v>722</v>
      </c>
      <c r="E110" s="5"/>
      <c r="F110" s="5"/>
      <c r="G110" s="5"/>
      <c r="H110" s="5"/>
      <c r="I110" s="5"/>
      <c r="J110" s="5"/>
      <c r="K110" s="5"/>
    </row>
    <row r="111" spans="2:11">
      <c r="B111" s="1460"/>
      <c r="C111" s="73"/>
      <c r="D111" s="36" t="s">
        <v>723</v>
      </c>
      <c r="E111" s="5"/>
      <c r="F111" s="5"/>
      <c r="G111" s="5"/>
      <c r="H111" s="5"/>
      <c r="I111" s="5"/>
      <c r="J111" s="5"/>
      <c r="K111" s="5"/>
    </row>
    <row r="112" spans="2:11" ht="24">
      <c r="B112" s="1460"/>
      <c r="C112" s="73"/>
      <c r="D112" s="36" t="s">
        <v>724</v>
      </c>
      <c r="E112" s="5"/>
      <c r="F112" s="5"/>
      <c r="G112" s="5"/>
      <c r="H112" s="5"/>
      <c r="I112" s="5"/>
      <c r="J112" s="5"/>
      <c r="K112" s="5"/>
    </row>
    <row r="113" spans="2:11" ht="24">
      <c r="B113" s="1460"/>
      <c r="C113" s="73"/>
      <c r="D113" s="36" t="s">
        <v>725</v>
      </c>
      <c r="E113" s="5"/>
      <c r="F113" s="5"/>
      <c r="G113" s="5"/>
      <c r="H113" s="5"/>
      <c r="I113" s="5"/>
      <c r="J113" s="5"/>
      <c r="K113" s="5"/>
    </row>
    <row r="114" spans="2:11" ht="24">
      <c r="B114" s="1460"/>
      <c r="C114" s="73"/>
      <c r="D114" s="36" t="s">
        <v>726</v>
      </c>
      <c r="E114" s="5"/>
      <c r="F114" s="5"/>
      <c r="G114" s="5"/>
      <c r="H114" s="5"/>
      <c r="I114" s="5"/>
      <c r="J114" s="5"/>
      <c r="K114" s="5"/>
    </row>
    <row r="115" spans="2:11" ht="60">
      <c r="B115" s="1460"/>
      <c r="C115" s="73"/>
      <c r="D115" s="36" t="s">
        <v>727</v>
      </c>
      <c r="E115" s="5"/>
      <c r="F115" s="5"/>
      <c r="G115" s="5"/>
      <c r="H115" s="5"/>
      <c r="I115" s="5"/>
      <c r="J115" s="5"/>
      <c r="K115" s="5"/>
    </row>
    <row r="116" spans="2:11" ht="36">
      <c r="B116" s="1460"/>
      <c r="C116" s="73"/>
      <c r="D116" s="36" t="s">
        <v>728</v>
      </c>
      <c r="E116" s="5"/>
      <c r="F116" s="5"/>
      <c r="G116" s="5"/>
      <c r="H116" s="5"/>
      <c r="I116" s="5"/>
      <c r="J116" s="5"/>
      <c r="K116" s="5"/>
    </row>
    <row r="117" spans="2:11" ht="36">
      <c r="B117" s="1460"/>
      <c r="C117" s="73"/>
      <c r="D117" s="36" t="s">
        <v>729</v>
      </c>
      <c r="E117" s="5"/>
      <c r="F117" s="5"/>
      <c r="G117" s="5"/>
      <c r="H117" s="5"/>
      <c r="I117" s="5"/>
      <c r="J117" s="5"/>
      <c r="K117" s="5"/>
    </row>
    <row r="118" spans="2:11" ht="24">
      <c r="B118" s="1460"/>
      <c r="C118" s="73"/>
      <c r="D118" s="36" t="s">
        <v>730</v>
      </c>
      <c r="E118" s="5"/>
      <c r="F118" s="5"/>
      <c r="G118" s="5"/>
      <c r="H118" s="5"/>
      <c r="I118" s="5"/>
      <c r="J118" s="5"/>
      <c r="K118" s="5"/>
    </row>
    <row r="119" spans="2:11" ht="24">
      <c r="B119" s="1460"/>
      <c r="C119" s="73"/>
      <c r="D119" s="36" t="s">
        <v>731</v>
      </c>
      <c r="E119" s="5"/>
      <c r="F119" s="5"/>
      <c r="G119" s="5"/>
      <c r="H119" s="5"/>
      <c r="I119" s="5"/>
      <c r="J119" s="5"/>
      <c r="K119" s="5"/>
    </row>
    <row r="120" spans="2:11" ht="36">
      <c r="B120" s="1460"/>
      <c r="C120" s="73"/>
      <c r="D120" s="36" t="s">
        <v>732</v>
      </c>
      <c r="E120" s="5"/>
      <c r="F120" s="5"/>
      <c r="G120" s="5"/>
      <c r="H120" s="5"/>
      <c r="I120" s="5"/>
      <c r="J120" s="5"/>
      <c r="K120" s="5"/>
    </row>
    <row r="121" spans="2:11" ht="24">
      <c r="B121" s="1460"/>
      <c r="C121" s="73"/>
      <c r="D121" s="36" t="s">
        <v>733</v>
      </c>
      <c r="E121" s="5"/>
      <c r="F121" s="5"/>
      <c r="G121" s="5"/>
      <c r="H121" s="5"/>
      <c r="I121" s="5"/>
      <c r="J121" s="5"/>
      <c r="K121" s="5"/>
    </row>
    <row r="122" spans="2:11" ht="36">
      <c r="B122" s="1460"/>
      <c r="C122" s="73"/>
      <c r="D122" s="36" t="s">
        <v>734</v>
      </c>
      <c r="E122" s="5"/>
      <c r="F122" s="5"/>
      <c r="G122" s="5"/>
      <c r="H122" s="5"/>
      <c r="I122" s="5"/>
      <c r="J122" s="5"/>
      <c r="K122" s="5"/>
    </row>
    <row r="123" spans="2:11" ht="36">
      <c r="B123" s="1460"/>
      <c r="C123" s="73"/>
      <c r="D123" s="36" t="s">
        <v>735</v>
      </c>
      <c r="E123" s="5"/>
      <c r="F123" s="5"/>
      <c r="G123" s="5"/>
      <c r="H123" s="5"/>
      <c r="I123" s="5"/>
      <c r="J123" s="5"/>
      <c r="K123" s="5"/>
    </row>
    <row r="124" spans="2:11" ht="36">
      <c r="B124" s="1460"/>
      <c r="C124" s="73"/>
      <c r="D124" s="36" t="s">
        <v>736</v>
      </c>
      <c r="E124" s="5"/>
      <c r="F124" s="5"/>
      <c r="G124" s="5"/>
      <c r="H124" s="5"/>
      <c r="I124" s="5"/>
      <c r="J124" s="5"/>
      <c r="K124" s="5"/>
    </row>
    <row r="125" spans="2:11" ht="60">
      <c r="B125" s="1460"/>
      <c r="C125" s="73"/>
      <c r="D125" s="36" t="s">
        <v>737</v>
      </c>
      <c r="E125" s="5"/>
      <c r="F125" s="5"/>
      <c r="G125" s="5"/>
      <c r="H125" s="5"/>
      <c r="I125" s="5"/>
      <c r="J125" s="5"/>
      <c r="K125" s="5"/>
    </row>
    <row r="126" spans="2:11" ht="48">
      <c r="B126" s="1460"/>
      <c r="C126" s="73"/>
      <c r="D126" s="36" t="s">
        <v>738</v>
      </c>
      <c r="E126" s="5"/>
      <c r="F126" s="5"/>
      <c r="G126" s="5"/>
      <c r="H126" s="5"/>
      <c r="I126" s="5"/>
      <c r="J126" s="5"/>
      <c r="K126" s="5"/>
    </row>
    <row r="127" spans="2:11" ht="24">
      <c r="B127" s="1460"/>
      <c r="C127" s="73"/>
      <c r="D127" s="36" t="s">
        <v>739</v>
      </c>
      <c r="E127" s="5"/>
      <c r="F127" s="5"/>
      <c r="G127" s="5"/>
      <c r="H127" s="5"/>
      <c r="I127" s="5"/>
      <c r="J127" s="5"/>
      <c r="K127" s="5"/>
    </row>
    <row r="128" spans="2:11">
      <c r="B128" s="1460"/>
      <c r="C128" s="73"/>
      <c r="D128" s="36" t="s">
        <v>740</v>
      </c>
      <c r="E128" s="5"/>
      <c r="F128" s="5"/>
      <c r="G128" s="5"/>
      <c r="H128" s="5"/>
      <c r="I128" s="5"/>
      <c r="J128" s="5"/>
      <c r="K128" s="5"/>
    </row>
    <row r="129" spans="2:11" ht="24">
      <c r="B129" s="1460"/>
      <c r="C129" s="73"/>
      <c r="D129" s="36" t="s">
        <v>741</v>
      </c>
      <c r="E129" s="5"/>
      <c r="F129" s="5"/>
      <c r="G129" s="5"/>
      <c r="H129" s="5"/>
      <c r="I129" s="5"/>
      <c r="J129" s="5"/>
      <c r="K129" s="5"/>
    </row>
    <row r="130" spans="2:11" ht="24">
      <c r="B130" s="1460"/>
      <c r="C130" s="73"/>
      <c r="D130" s="36" t="s">
        <v>742</v>
      </c>
      <c r="E130" s="5"/>
      <c r="F130" s="5"/>
      <c r="G130" s="5"/>
      <c r="H130" s="5"/>
      <c r="I130" s="5"/>
      <c r="J130" s="5"/>
      <c r="K130" s="5"/>
    </row>
    <row r="131" spans="2:11" ht="36">
      <c r="B131" s="1460"/>
      <c r="C131" s="73"/>
      <c r="D131" s="36" t="s">
        <v>743</v>
      </c>
      <c r="E131" s="5"/>
      <c r="F131" s="5"/>
      <c r="G131" s="5"/>
      <c r="H131" s="5"/>
      <c r="I131" s="5"/>
      <c r="J131" s="5"/>
      <c r="K131" s="5"/>
    </row>
    <row r="132" spans="2:11">
      <c r="B132" s="1460"/>
      <c r="C132" s="73"/>
      <c r="D132" s="36" t="s">
        <v>744</v>
      </c>
      <c r="E132" s="5"/>
      <c r="F132" s="5"/>
      <c r="G132" s="5"/>
      <c r="H132" s="5"/>
      <c r="I132" s="5"/>
      <c r="J132" s="5"/>
      <c r="K132" s="5"/>
    </row>
    <row r="133" spans="2:11" ht="24.6" thickBot="1">
      <c r="B133" s="1461"/>
      <c r="C133" s="2"/>
      <c r="D133" s="32" t="s">
        <v>745</v>
      </c>
      <c r="E133" s="5"/>
      <c r="F133" s="5"/>
      <c r="G133" s="5"/>
      <c r="H133" s="5"/>
      <c r="I133" s="5"/>
      <c r="J133" s="5"/>
      <c r="K133" s="5"/>
    </row>
    <row r="134" spans="2:11" ht="24">
      <c r="B134" s="1459" t="s">
        <v>89</v>
      </c>
      <c r="C134" s="73"/>
      <c r="D134" s="43" t="s">
        <v>746</v>
      </c>
      <c r="E134" s="5"/>
      <c r="F134" s="5"/>
      <c r="G134" s="5"/>
      <c r="H134" s="5"/>
      <c r="I134" s="5"/>
      <c r="J134" s="5"/>
      <c r="K134" s="5"/>
    </row>
    <row r="135" spans="2:11" ht="25.35" customHeight="1">
      <c r="B135" s="1460"/>
      <c r="C135" s="73"/>
      <c r="D135" s="36" t="s">
        <v>247</v>
      </c>
      <c r="E135" s="5"/>
      <c r="F135" s="5"/>
      <c r="G135" s="5"/>
      <c r="H135" s="5"/>
      <c r="I135" s="5"/>
      <c r="J135" s="5"/>
      <c r="K135" s="5"/>
    </row>
    <row r="136" spans="2:11">
      <c r="B136" s="1460"/>
      <c r="C136" s="73"/>
      <c r="D136" s="36" t="s">
        <v>90</v>
      </c>
      <c r="E136" s="5"/>
      <c r="F136" s="5"/>
      <c r="G136" s="5"/>
      <c r="H136" s="5"/>
      <c r="I136" s="5"/>
      <c r="J136" s="5"/>
      <c r="K136" s="5"/>
    </row>
    <row r="137" spans="2:11" ht="38.4">
      <c r="B137" s="1460"/>
      <c r="C137" s="73"/>
      <c r="D137" s="36" t="s">
        <v>747</v>
      </c>
      <c r="E137" s="5"/>
      <c r="F137" s="5"/>
      <c r="G137" s="5"/>
      <c r="H137" s="5"/>
      <c r="I137" s="5"/>
      <c r="J137" s="5"/>
      <c r="K137" s="5"/>
    </row>
    <row r="138" spans="2:11" ht="38.4">
      <c r="B138" s="1460"/>
      <c r="C138" s="73"/>
      <c r="D138" s="36" t="s">
        <v>748</v>
      </c>
      <c r="E138" s="5"/>
      <c r="F138" s="5"/>
      <c r="G138" s="5"/>
      <c r="H138" s="5"/>
      <c r="I138" s="5"/>
      <c r="J138" s="5"/>
      <c r="K138" s="5"/>
    </row>
    <row r="139" spans="2:11" ht="38.4">
      <c r="B139" s="1460"/>
      <c r="C139" s="73"/>
      <c r="D139" s="36" t="s">
        <v>749</v>
      </c>
      <c r="E139" s="5"/>
      <c r="F139" s="5"/>
      <c r="G139" s="5"/>
      <c r="H139" s="5"/>
      <c r="I139" s="5"/>
      <c r="J139" s="5"/>
      <c r="K139" s="5"/>
    </row>
    <row r="140" spans="2:11" ht="38.4">
      <c r="B140" s="1460"/>
      <c r="C140" s="73"/>
      <c r="D140" s="36" t="s">
        <v>750</v>
      </c>
      <c r="E140" s="5"/>
      <c r="F140" s="5"/>
      <c r="G140" s="5"/>
      <c r="H140" s="5"/>
      <c r="I140" s="5"/>
      <c r="J140" s="5"/>
      <c r="K140" s="5"/>
    </row>
    <row r="141" spans="2:11">
      <c r="B141" s="1460"/>
      <c r="C141" s="73"/>
      <c r="D141" s="36" t="s">
        <v>751</v>
      </c>
      <c r="E141" s="5"/>
      <c r="F141" s="5"/>
      <c r="G141" s="5"/>
      <c r="H141" s="5"/>
      <c r="I141" s="5"/>
      <c r="J141" s="5"/>
      <c r="K141" s="5"/>
    </row>
    <row r="142" spans="2:11">
      <c r="B142" s="1460"/>
      <c r="C142" s="73"/>
      <c r="D142" s="36" t="s">
        <v>752</v>
      </c>
      <c r="E142" s="5"/>
      <c r="F142" s="5"/>
      <c r="G142" s="5"/>
      <c r="H142" s="5"/>
      <c r="I142" s="5"/>
      <c r="J142" s="5"/>
      <c r="K142" s="5"/>
    </row>
    <row r="143" spans="2:11">
      <c r="B143" s="1460"/>
      <c r="C143" s="73"/>
      <c r="D143" s="36" t="s">
        <v>753</v>
      </c>
      <c r="E143" s="5"/>
      <c r="F143" s="5"/>
      <c r="G143" s="5"/>
      <c r="H143" s="5"/>
      <c r="I143" s="5"/>
      <c r="J143" s="5"/>
      <c r="K143" s="5"/>
    </row>
    <row r="144" spans="2:11">
      <c r="B144" s="1460"/>
      <c r="C144" s="73"/>
      <c r="D144" s="36" t="s">
        <v>754</v>
      </c>
      <c r="E144" s="5"/>
      <c r="F144" s="5"/>
      <c r="G144" s="5"/>
      <c r="H144" s="5"/>
      <c r="I144" s="5"/>
      <c r="J144" s="5"/>
      <c r="K144" s="5"/>
    </row>
    <row r="145" spans="2:11" ht="72">
      <c r="B145" s="1460"/>
      <c r="C145" s="73"/>
      <c r="D145" s="44" t="s">
        <v>234</v>
      </c>
      <c r="E145" s="5"/>
      <c r="F145" s="5"/>
      <c r="G145" s="5"/>
      <c r="H145" s="5"/>
      <c r="I145" s="5"/>
      <c r="J145" s="5"/>
      <c r="K145" s="5"/>
    </row>
    <row r="146" spans="2:11">
      <c r="B146" s="1460"/>
      <c r="C146" s="73"/>
      <c r="D146" s="47" t="s">
        <v>245</v>
      </c>
      <c r="E146" s="5"/>
      <c r="F146" s="5"/>
      <c r="G146" s="5"/>
      <c r="H146" s="5"/>
      <c r="I146" s="5"/>
      <c r="J146" s="5"/>
      <c r="K146" s="5"/>
    </row>
    <row r="147" spans="2:11" ht="24">
      <c r="B147" s="1460"/>
      <c r="C147" s="73"/>
      <c r="D147" s="43" t="s">
        <v>755</v>
      </c>
      <c r="E147" s="5"/>
      <c r="F147" s="5"/>
      <c r="G147" s="5"/>
      <c r="H147" s="5"/>
      <c r="I147" s="5"/>
      <c r="J147" s="5"/>
      <c r="K147" s="5"/>
    </row>
    <row r="148" spans="2:11" ht="23.1" customHeight="1">
      <c r="B148" s="1460"/>
      <c r="C148" s="73"/>
      <c r="D148" s="36" t="s">
        <v>247</v>
      </c>
      <c r="E148" s="5"/>
      <c r="F148" s="5"/>
      <c r="G148" s="5"/>
      <c r="H148" s="5"/>
      <c r="I148" s="5"/>
      <c r="J148" s="5"/>
      <c r="K148" s="5"/>
    </row>
    <row r="149" spans="2:11">
      <c r="B149" s="1460"/>
      <c r="C149" s="73"/>
      <c r="D149" s="36" t="s">
        <v>90</v>
      </c>
      <c r="E149" s="5"/>
      <c r="F149" s="5"/>
      <c r="G149" s="5"/>
      <c r="H149" s="5"/>
      <c r="I149" s="5"/>
      <c r="J149" s="5"/>
      <c r="K149" s="5"/>
    </row>
    <row r="150" spans="2:11" ht="26.4">
      <c r="B150" s="1460"/>
      <c r="C150" s="73"/>
      <c r="D150" s="36" t="s">
        <v>756</v>
      </c>
      <c r="E150" s="5"/>
      <c r="F150" s="5"/>
      <c r="G150" s="5"/>
      <c r="H150" s="5"/>
      <c r="I150" s="5"/>
      <c r="J150" s="5"/>
      <c r="K150" s="5"/>
    </row>
    <row r="151" spans="2:11" ht="26.4">
      <c r="B151" s="1460"/>
      <c r="C151" s="73"/>
      <c r="D151" s="36" t="s">
        <v>757</v>
      </c>
      <c r="E151" s="5"/>
      <c r="F151" s="5"/>
      <c r="G151" s="5"/>
      <c r="H151" s="5"/>
      <c r="I151" s="5"/>
      <c r="J151" s="5"/>
      <c r="K151" s="5"/>
    </row>
    <row r="152" spans="2:11" ht="27" thickBot="1">
      <c r="B152" s="1461"/>
      <c r="C152" s="2"/>
      <c r="D152" s="32" t="s">
        <v>758</v>
      </c>
      <c r="E152" s="5"/>
      <c r="F152" s="5"/>
      <c r="G152" s="5"/>
      <c r="H152" s="5"/>
      <c r="I152" s="5"/>
      <c r="J152" s="5"/>
      <c r="K152" s="5"/>
    </row>
    <row r="153" spans="2:11">
      <c r="B153" s="5"/>
      <c r="D153" s="5"/>
      <c r="E153" s="5"/>
      <c r="F153" s="5"/>
      <c r="G153" s="5"/>
      <c r="H153" s="5"/>
      <c r="I153" s="5"/>
      <c r="J153" s="5"/>
      <c r="K153" s="5"/>
    </row>
    <row r="154" spans="2:11">
      <c r="B154" s="5"/>
      <c r="D154" s="5"/>
      <c r="E154" s="5"/>
      <c r="F154" s="5"/>
      <c r="G154" s="5"/>
      <c r="H154" s="5"/>
      <c r="I154" s="5"/>
      <c r="J154" s="5"/>
      <c r="K154" s="5"/>
    </row>
    <row r="155" spans="2:11">
      <c r="B155" s="5"/>
      <c r="D155" s="5"/>
      <c r="E155" s="5"/>
      <c r="F155" s="5"/>
      <c r="G155" s="5"/>
      <c r="H155" s="5"/>
      <c r="I155" s="5"/>
      <c r="J155" s="5"/>
      <c r="K155" s="5"/>
    </row>
    <row r="156" spans="2:11">
      <c r="B156" s="5"/>
      <c r="D156" s="5"/>
      <c r="E156" s="5"/>
      <c r="F156" s="5"/>
      <c r="G156" s="5"/>
      <c r="H156" s="5"/>
      <c r="I156" s="5"/>
      <c r="J156" s="5"/>
      <c r="K156" s="5"/>
    </row>
    <row r="157" spans="2:11">
      <c r="B157" s="5"/>
      <c r="D157" s="5"/>
      <c r="E157" s="5"/>
      <c r="F157" s="5"/>
      <c r="G157" s="5"/>
      <c r="H157" s="5"/>
      <c r="I157" s="5"/>
      <c r="J157" s="5"/>
      <c r="K157" s="5"/>
    </row>
    <row r="158" spans="2:11">
      <c r="B158" s="5"/>
      <c r="D158" s="5"/>
      <c r="E158" s="5"/>
      <c r="F158" s="5"/>
      <c r="G158" s="5"/>
      <c r="H158" s="5"/>
      <c r="I158" s="5"/>
      <c r="J158" s="5"/>
      <c r="K158" s="5"/>
    </row>
    <row r="159" spans="2:11">
      <c r="B159" s="5"/>
      <c r="D159" s="5"/>
      <c r="E159" s="5"/>
      <c r="F159" s="5"/>
      <c r="G159" s="5"/>
      <c r="H159" s="5"/>
      <c r="I159" s="5"/>
      <c r="J159" s="5"/>
      <c r="K159" s="5"/>
    </row>
    <row r="160" spans="2:11">
      <c r="B160" s="5"/>
      <c r="D160" s="5"/>
      <c r="E160" s="5"/>
      <c r="F160" s="5"/>
      <c r="G160" s="5"/>
      <c r="H160" s="5"/>
      <c r="I160" s="5"/>
      <c r="J160" s="5"/>
      <c r="K160" s="5"/>
    </row>
    <row r="161" spans="2:11">
      <c r="B161" s="5"/>
      <c r="D161" s="5"/>
      <c r="E161" s="5"/>
      <c r="F161" s="5"/>
      <c r="G161" s="5"/>
      <c r="H161" s="5"/>
      <c r="I161" s="5"/>
      <c r="J161" s="5"/>
      <c r="K161" s="5"/>
    </row>
    <row r="162" spans="2:11">
      <c r="B162" s="5"/>
      <c r="D162" s="5"/>
      <c r="E162" s="5"/>
      <c r="F162" s="5"/>
      <c r="G162" s="5"/>
      <c r="H162" s="5"/>
      <c r="I162" s="5"/>
      <c r="J162" s="5"/>
      <c r="K162" s="5"/>
    </row>
    <row r="163" spans="2:11">
      <c r="B163" s="5"/>
      <c r="D163" s="5"/>
      <c r="E163" s="5"/>
      <c r="F163" s="5"/>
      <c r="G163" s="5"/>
      <c r="H163" s="5"/>
      <c r="I163" s="5"/>
      <c r="J163" s="5"/>
      <c r="K163" s="5"/>
    </row>
    <row r="164" spans="2:11">
      <c r="B164" s="5"/>
      <c r="D164" s="5"/>
      <c r="E164" s="5"/>
      <c r="F164" s="5"/>
      <c r="G164" s="5"/>
      <c r="H164" s="5"/>
      <c r="I164" s="5"/>
      <c r="J164" s="5"/>
      <c r="K164" s="5"/>
    </row>
    <row r="165" spans="2:11">
      <c r="B165" s="5"/>
      <c r="D165" s="5"/>
      <c r="E165" s="5"/>
      <c r="F165" s="5"/>
      <c r="G165" s="5"/>
      <c r="H165" s="5"/>
      <c r="I165" s="5"/>
      <c r="J165" s="5"/>
      <c r="K165" s="5"/>
    </row>
    <row r="166" spans="2:11">
      <c r="B166" s="5"/>
      <c r="D166" s="5"/>
      <c r="E166" s="5"/>
      <c r="F166" s="5"/>
      <c r="G166" s="5"/>
      <c r="H166" s="5"/>
      <c r="I166" s="5"/>
      <c r="J166" s="5"/>
      <c r="K166" s="5"/>
    </row>
    <row r="167" spans="2:11">
      <c r="B167" s="5"/>
      <c r="D167" s="5"/>
      <c r="E167" s="5"/>
      <c r="F167" s="5"/>
      <c r="G167" s="5"/>
      <c r="H167" s="5"/>
      <c r="I167" s="5"/>
      <c r="J167" s="5"/>
      <c r="K167" s="5"/>
    </row>
    <row r="168" spans="2:11">
      <c r="B168" s="5"/>
      <c r="D168" s="5"/>
      <c r="E168" s="5"/>
      <c r="F168" s="5"/>
      <c r="G168" s="5"/>
      <c r="H168" s="5"/>
      <c r="I168" s="5"/>
      <c r="J168" s="5"/>
      <c r="K168" s="5"/>
    </row>
    <row r="169" spans="2:11">
      <c r="B169" s="5"/>
      <c r="D169" s="5"/>
      <c r="E169" s="5"/>
      <c r="F169" s="5"/>
      <c r="G169" s="5"/>
      <c r="H169" s="5"/>
      <c r="I169" s="5"/>
      <c r="J169" s="5"/>
      <c r="K169" s="5"/>
    </row>
    <row r="170" spans="2:11">
      <c r="B170" s="5"/>
      <c r="D170" s="5"/>
      <c r="E170" s="5"/>
      <c r="F170" s="5"/>
      <c r="G170" s="5"/>
      <c r="H170" s="5"/>
      <c r="I170" s="5"/>
      <c r="J170" s="5"/>
      <c r="K170" s="5"/>
    </row>
    <row r="171" spans="2:11">
      <c r="B171" s="5"/>
      <c r="D171" s="5"/>
      <c r="E171" s="5"/>
      <c r="F171" s="5"/>
      <c r="G171" s="5"/>
      <c r="H171" s="5"/>
      <c r="I171" s="5"/>
      <c r="J171" s="5"/>
      <c r="K171" s="5"/>
    </row>
    <row r="172" spans="2:11">
      <c r="B172" s="5"/>
      <c r="D172" s="5"/>
      <c r="E172" s="5"/>
      <c r="F172" s="5"/>
      <c r="G172" s="5"/>
      <c r="H172" s="5"/>
      <c r="I172" s="5"/>
      <c r="J172" s="5"/>
      <c r="K172" s="5"/>
    </row>
    <row r="173" spans="2:11">
      <c r="B173" s="5"/>
      <c r="D173" s="5"/>
      <c r="E173" s="5"/>
      <c r="F173" s="5"/>
      <c r="G173" s="5"/>
      <c r="H173" s="5"/>
      <c r="I173" s="5"/>
      <c r="J173" s="5"/>
      <c r="K173" s="5"/>
    </row>
    <row r="174" spans="2:11">
      <c r="B174" s="5"/>
      <c r="D174" s="5"/>
      <c r="E174" s="5"/>
      <c r="F174" s="5"/>
      <c r="G174" s="5"/>
      <c r="H174" s="5"/>
      <c r="I174" s="5"/>
      <c r="J174" s="5"/>
      <c r="K174" s="5"/>
    </row>
    <row r="175" spans="2:11">
      <c r="B175" s="5"/>
      <c r="D175" s="5"/>
      <c r="E175" s="5"/>
      <c r="F175" s="5"/>
      <c r="G175" s="5"/>
      <c r="H175" s="5"/>
      <c r="I175" s="5"/>
      <c r="J175" s="5"/>
      <c r="K175" s="5"/>
    </row>
    <row r="176" spans="2:11">
      <c r="B176" s="5"/>
      <c r="D176" s="5"/>
      <c r="E176" s="5"/>
      <c r="F176" s="5"/>
      <c r="G176" s="5"/>
      <c r="H176" s="5"/>
      <c r="I176" s="5"/>
      <c r="J176" s="5"/>
      <c r="K176" s="5"/>
    </row>
    <row r="177" spans="2:11">
      <c r="B177" s="5"/>
      <c r="D177" s="5"/>
      <c r="E177" s="5"/>
      <c r="F177" s="5"/>
      <c r="G177" s="5"/>
      <c r="H177" s="5"/>
      <c r="I177" s="5"/>
      <c r="J177" s="5"/>
      <c r="K177" s="5"/>
    </row>
    <row r="178" spans="2:11">
      <c r="B178" s="5"/>
      <c r="D178" s="5"/>
      <c r="E178" s="5"/>
      <c r="F178" s="5"/>
      <c r="G178" s="5"/>
      <c r="H178" s="5"/>
      <c r="I178" s="5"/>
      <c r="J178" s="5"/>
      <c r="K178" s="5"/>
    </row>
    <row r="179" spans="2:11">
      <c r="B179" s="5"/>
      <c r="D179" s="5"/>
      <c r="E179" s="5"/>
      <c r="F179" s="5"/>
      <c r="G179" s="5"/>
      <c r="H179" s="5"/>
      <c r="I179" s="5"/>
      <c r="J179" s="5"/>
      <c r="K179" s="5"/>
    </row>
    <row r="180" spans="2:11">
      <c r="B180" s="5"/>
      <c r="D180" s="5"/>
      <c r="E180" s="5"/>
      <c r="F180" s="5"/>
      <c r="G180" s="5"/>
      <c r="H180" s="5"/>
      <c r="I180" s="5"/>
      <c r="J180" s="5"/>
      <c r="K180" s="5"/>
    </row>
    <row r="181" spans="2:11">
      <c r="B181" s="5"/>
      <c r="D181" s="5"/>
      <c r="E181" s="5"/>
      <c r="F181" s="5"/>
      <c r="G181" s="5"/>
      <c r="H181" s="5"/>
      <c r="I181" s="5"/>
      <c r="J181" s="5"/>
      <c r="K181" s="5"/>
    </row>
  </sheetData>
  <sheetProtection insertColumns="0" insertRows="0"/>
  <mergeCells count="36">
    <mergeCell ref="B10:D10"/>
    <mergeCell ref="F10:S10"/>
    <mergeCell ref="F11:S11"/>
    <mergeCell ref="E12:R12"/>
    <mergeCell ref="E13:R13"/>
    <mergeCell ref="B75:E76"/>
    <mergeCell ref="B78:D78"/>
    <mergeCell ref="B80:B96"/>
    <mergeCell ref="B98:B133"/>
    <mergeCell ref="B134:B152"/>
    <mergeCell ref="D36:D37"/>
    <mergeCell ref="E36:E37"/>
    <mergeCell ref="F36:K36"/>
    <mergeCell ref="C21:C22"/>
    <mergeCell ref="D21:D22"/>
    <mergeCell ref="B15:B19"/>
    <mergeCell ref="B52:E52"/>
    <mergeCell ref="B53:B59"/>
    <mergeCell ref="B61:E61"/>
    <mergeCell ref="B62:B68"/>
    <mergeCell ref="D15:L15"/>
    <mergeCell ref="D16:L16"/>
    <mergeCell ref="D19:L19"/>
    <mergeCell ref="D20:L20"/>
    <mergeCell ref="D33:L33"/>
    <mergeCell ref="D34:L34"/>
    <mergeCell ref="D35:L35"/>
    <mergeCell ref="D47:L47"/>
    <mergeCell ref="E21:E22"/>
    <mergeCell ref="F21:J21"/>
    <mergeCell ref="C36:C37"/>
    <mergeCell ref="A1:P1"/>
    <mergeCell ref="A2:P2"/>
    <mergeCell ref="A3:P3"/>
    <mergeCell ref="A4:D4"/>
    <mergeCell ref="A5:P5"/>
  </mergeCells>
  <conditionalFormatting sqref="E12:R12">
    <cfRule type="expression" dxfId="47" priority="1">
      <formula>E11="SI SE REPORTA"</formula>
    </cfRule>
  </conditionalFormatting>
  <conditionalFormatting sqref="F10">
    <cfRule type="notContainsBlanks" dxfId="46" priority="4">
      <formula>LEN(TRIM(F10))&gt;0</formula>
    </cfRule>
  </conditionalFormatting>
  <conditionalFormatting sqref="F11:S11">
    <cfRule type="expression" dxfId="45" priority="2">
      <formula>E11="NO SE REPORTA"</formula>
    </cfRule>
    <cfRule type="expression" dxfId="44" priority="3">
      <formula>E10="NO APLICA"</formula>
    </cfRule>
  </conditionalFormatting>
  <conditionalFormatting sqref="H32">
    <cfRule type="containsText" dxfId="43" priority="5" operator="containsText" text="ERROR">
      <formula>NOT(ISERROR(SEARCH("ERROR",H32)))</formula>
    </cfRule>
  </conditionalFormatting>
  <dataValidations count="6">
    <dataValidation type="whole" operator="greaterThanOrEqual" allowBlank="1" showErrorMessage="1" errorTitle="ERROR" error="Escriba un número igual o mayor que 0" promptTitle="ERROR" prompt="Escriba un número igual o mayor que 0" sqref="E18:H18" xr:uid="{00000000-0002-0000-1700-000000000000}">
      <formula1>0</formula1>
    </dataValidation>
    <dataValidation type="whole" operator="greaterThanOrEqual" allowBlank="1" showInputMessage="1" showErrorMessage="1" errorTitle="ERROR" error="Valor en PESOS (sin centavos)" sqref="F38:I45" xr:uid="{00000000-0002-0000-1700-000001000000}">
      <formula1>0</formula1>
    </dataValidation>
    <dataValidation type="decimal" allowBlank="1" showInputMessage="1" showErrorMessage="1" errorTitle="ERROR" error="Escriba un valor entre 0% y 100%" sqref="F25:H31" xr:uid="{00000000-0002-0000-1700-000002000000}">
      <formula1>0</formula1>
      <formula2>1</formula2>
    </dataValidation>
    <dataValidation allowBlank="1" showInputMessage="1" showErrorMessage="1" sqref="G46:I46 I25:I32 H32 I23 J38:K46" xr:uid="{00000000-0002-0000-1700-000003000000}"/>
    <dataValidation type="list" allowBlank="1" showInputMessage="1" showErrorMessage="1" sqref="E11" xr:uid="{00000000-0002-0000-1700-000004000000}">
      <formula1>REPORTE</formula1>
    </dataValidation>
    <dataValidation type="list" allowBlank="1" showInputMessage="1" showErrorMessage="1" sqref="E10" xr:uid="{00000000-0002-0000-1700-000005000000}">
      <formula1>SI</formula1>
    </dataValidation>
  </dataValidations>
  <hyperlinks>
    <hyperlink ref="B9" location="'ANEXO 3'!A1" display="VOLVER AL INDICE" xr:uid="{00000000-0004-0000-1700-000000000000}"/>
    <hyperlink ref="E57" r:id="rId1" xr:uid="{00000000-0004-0000-1700-000001000000}"/>
  </hyperlinks>
  <pageMargins left="0.25" right="0.25" top="0.75" bottom="0.75" header="0.3" footer="0.3"/>
  <pageSetup paperSize="178" orientation="landscape" horizontalDpi="1200" verticalDpi="1200" r:id="rId2"/>
  <drawing r:id="rId3"/>
  <legacy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30"/>
  <dimension ref="A1:U178"/>
  <sheetViews>
    <sheetView showGridLines="0" topLeftCell="A10" zoomScale="98" zoomScaleNormal="98" workbookViewId="0">
      <selection activeCell="E19" sqref="E19"/>
    </sheetView>
  </sheetViews>
  <sheetFormatPr baseColWidth="10" defaultRowHeight="14.4"/>
  <cols>
    <col min="1" max="1" width="1.88671875" customWidth="1"/>
    <col min="2" max="2" width="10.88671875" customWidth="1"/>
    <col min="3" max="3" width="5" style="66" bestFit="1" customWidth="1"/>
    <col min="4" max="4" width="34.88671875" customWidth="1"/>
    <col min="5" max="5" width="21.88671875" customWidth="1"/>
    <col min="6" max="6" width="13.6640625" customWidth="1"/>
    <col min="7" max="7" width="14.33203125" customWidth="1"/>
    <col min="8" max="8" width="13.88671875" customWidth="1"/>
    <col min="9" max="9" width="12.5546875" customWidth="1"/>
    <col min="10" max="10" width="13.33203125" bestFit="1" customWidth="1"/>
    <col min="11" max="11" width="13.5546875" customWidth="1"/>
    <col min="12" max="12" width="19.109375" customWidth="1"/>
  </cols>
  <sheetData>
    <row r="1" spans="1:21" s="314" customFormat="1" ht="100.5" customHeight="1" thickBot="1">
      <c r="A1" s="1421"/>
      <c r="B1" s="1422"/>
      <c r="C1" s="1422"/>
      <c r="D1" s="1422"/>
      <c r="E1" s="1422"/>
      <c r="F1" s="1422"/>
      <c r="G1" s="1422"/>
      <c r="H1" s="1422"/>
      <c r="I1" s="1422"/>
      <c r="J1" s="1422"/>
      <c r="K1" s="1422"/>
      <c r="L1" s="1422"/>
      <c r="M1" s="1422"/>
      <c r="N1" s="1422"/>
      <c r="O1" s="1422"/>
      <c r="P1" s="1423"/>
      <c r="Q1"/>
      <c r="R1"/>
    </row>
    <row r="2" spans="1:21" s="315" customFormat="1" ht="16.2" thickBot="1">
      <c r="A2" s="1418" t="str">
        <f>+'Datos Generales'!C5</f>
        <v>Corporación Autónoma Regional del Atlántico – CRA</v>
      </c>
      <c r="B2" s="1419"/>
      <c r="C2" s="1419"/>
      <c r="D2" s="1419"/>
      <c r="E2" s="1419"/>
      <c r="F2" s="1419"/>
      <c r="G2" s="1419"/>
      <c r="H2" s="1419"/>
      <c r="I2" s="1419"/>
      <c r="J2" s="1419"/>
      <c r="K2" s="1419"/>
      <c r="L2" s="1419"/>
      <c r="M2" s="1419"/>
      <c r="N2" s="1419"/>
      <c r="O2" s="1419"/>
      <c r="P2" s="1420"/>
      <c r="Q2"/>
      <c r="R2"/>
    </row>
    <row r="3" spans="1:21" s="315" customFormat="1" ht="16.2" thickBot="1">
      <c r="A3" s="1426" t="s">
        <v>1295</v>
      </c>
      <c r="B3" s="1427"/>
      <c r="C3" s="1427"/>
      <c r="D3" s="1427"/>
      <c r="E3" s="1427"/>
      <c r="F3" s="1427"/>
      <c r="G3" s="1427"/>
      <c r="H3" s="1427"/>
      <c r="I3" s="1427"/>
      <c r="J3" s="1427"/>
      <c r="K3" s="1427"/>
      <c r="L3" s="1427"/>
      <c r="M3" s="1427"/>
      <c r="N3" s="1427"/>
      <c r="O3" s="1427"/>
      <c r="P3" s="1428"/>
      <c r="Q3"/>
      <c r="R3"/>
    </row>
    <row r="4" spans="1:21" s="315" customFormat="1" ht="16.2" thickBot="1">
      <c r="A4" s="1424" t="s">
        <v>1294</v>
      </c>
      <c r="B4" s="1425"/>
      <c r="C4" s="1425"/>
      <c r="D4" s="1425"/>
      <c r="E4" s="322" t="str">
        <f>+'Datos Generales'!C6</f>
        <v>2023-II</v>
      </c>
      <c r="F4" s="322"/>
      <c r="G4" s="322"/>
      <c r="H4" s="322"/>
      <c r="I4" s="322"/>
      <c r="J4" s="322"/>
      <c r="K4" s="322"/>
      <c r="L4" s="323"/>
      <c r="M4" s="323"/>
      <c r="N4" s="323"/>
      <c r="O4" s="323"/>
      <c r="P4" s="324"/>
      <c r="Q4"/>
      <c r="R4"/>
    </row>
    <row r="5" spans="1:21" ht="16.5" customHeight="1" thickBot="1">
      <c r="A5" s="1426" t="s">
        <v>767</v>
      </c>
      <c r="B5" s="1427"/>
      <c r="C5" s="1427"/>
      <c r="D5" s="1427"/>
      <c r="E5" s="1427"/>
      <c r="F5" s="1427"/>
      <c r="G5" s="1427"/>
      <c r="H5" s="1427"/>
      <c r="I5" s="1427"/>
      <c r="J5" s="1427"/>
      <c r="K5" s="1427"/>
      <c r="L5" s="1427"/>
      <c r="M5" s="1427"/>
      <c r="N5" s="1427"/>
      <c r="O5" s="1427"/>
      <c r="P5" s="1428"/>
    </row>
    <row r="6" spans="1:21">
      <c r="B6" s="1" t="s">
        <v>1</v>
      </c>
      <c r="C6" s="64"/>
      <c r="D6" s="5"/>
      <c r="E6" s="62"/>
      <c r="F6" s="5" t="s">
        <v>127</v>
      </c>
      <c r="G6" s="5"/>
      <c r="H6" s="5"/>
      <c r="I6" s="5"/>
      <c r="J6" s="5"/>
      <c r="K6" s="5"/>
    </row>
    <row r="7" spans="1:21" ht="15" thickBot="1">
      <c r="B7" s="63"/>
      <c r="C7" s="65"/>
      <c r="D7" s="5"/>
      <c r="E7" s="14"/>
      <c r="F7" s="5" t="s">
        <v>128</v>
      </c>
      <c r="G7" s="5"/>
      <c r="H7" s="5"/>
      <c r="I7" s="5"/>
      <c r="J7" s="5"/>
      <c r="K7" s="5"/>
    </row>
    <row r="8" spans="1:21" ht="15" thickBot="1">
      <c r="B8" s="143" t="s">
        <v>1180</v>
      </c>
      <c r="C8" s="571">
        <v>2023</v>
      </c>
      <c r="D8" s="171">
        <f>IF(E10="NO APLICA","NO APLICA",IF(E11="NO SE REPORTA","SIN INFORMACION",+F40))</f>
        <v>1</v>
      </c>
      <c r="E8" s="168"/>
      <c r="F8" s="5" t="s">
        <v>129</v>
      </c>
      <c r="G8" s="5"/>
      <c r="H8" s="5"/>
      <c r="I8" s="5"/>
      <c r="J8" s="5"/>
      <c r="K8" s="5"/>
    </row>
    <row r="9" spans="1:21">
      <c r="B9" s="300" t="s">
        <v>1181</v>
      </c>
      <c r="D9" s="5"/>
      <c r="E9" s="5"/>
      <c r="F9" s="5"/>
      <c r="G9" s="5"/>
      <c r="H9" s="5"/>
      <c r="I9" s="5"/>
      <c r="J9" s="5"/>
      <c r="K9" s="5"/>
    </row>
    <row r="10" spans="1:21">
      <c r="B10" s="1429" t="s">
        <v>1236</v>
      </c>
      <c r="C10" s="1429"/>
      <c r="D10" s="1429"/>
      <c r="E10" s="303" t="s">
        <v>1233</v>
      </c>
      <c r="F10" s="1436"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437"/>
      <c r="H10" s="1437"/>
      <c r="I10" s="1437"/>
      <c r="J10" s="1437"/>
      <c r="K10" s="1437"/>
      <c r="L10" s="1437"/>
      <c r="M10" s="1437"/>
      <c r="N10" s="1437"/>
      <c r="O10" s="1437"/>
      <c r="P10" s="1437"/>
      <c r="Q10" s="1437"/>
      <c r="R10" s="1437"/>
      <c r="S10" s="1437"/>
      <c r="T10" s="5"/>
      <c r="U10" s="5"/>
    </row>
    <row r="11" spans="1:21" ht="14.4" customHeight="1">
      <c r="B11" s="302"/>
      <c r="C11" s="67"/>
      <c r="D11" s="144" t="str">
        <f>IF(E10="SI APLICA","¿El indicador no se reporta por limitaciones de información disponible? ","")</f>
        <v xml:space="preserve">¿El indicador no se reporta por limitaciones de información disponible? </v>
      </c>
      <c r="E11" s="304" t="s">
        <v>1235</v>
      </c>
      <c r="F11" s="1430"/>
      <c r="G11" s="1431"/>
      <c r="H11" s="1431"/>
      <c r="I11" s="1431"/>
      <c r="J11" s="1431"/>
      <c r="K11" s="1431"/>
      <c r="L11" s="1431"/>
      <c r="M11" s="1431"/>
      <c r="N11" s="1431"/>
      <c r="O11" s="1431"/>
      <c r="P11" s="1431"/>
      <c r="Q11" s="1431"/>
      <c r="R11" s="1431"/>
      <c r="S11" s="1431"/>
    </row>
    <row r="12" spans="1:21" ht="23.4" customHeight="1">
      <c r="B12" s="300"/>
      <c r="C12" s="67"/>
      <c r="D12" s="144" t="str">
        <f>IF(E11="SI SE REPORTA","¿Qué programas o proyectos del Plan de Acción están asociados al indicador? ","")</f>
        <v xml:space="preserve">¿Qué programas o proyectos del Plan de Acción están asociados al indicador? </v>
      </c>
      <c r="E12" s="1560" t="s">
        <v>1878</v>
      </c>
      <c r="F12" s="1560"/>
      <c r="G12" s="1560"/>
      <c r="H12" s="1560"/>
      <c r="I12" s="1560"/>
      <c r="J12" s="1560"/>
      <c r="K12" s="1560"/>
      <c r="L12" s="1560"/>
      <c r="M12" s="1560"/>
      <c r="N12" s="1560"/>
      <c r="O12" s="1560"/>
      <c r="P12" s="1560"/>
      <c r="Q12" s="1560"/>
      <c r="R12" s="1560"/>
    </row>
    <row r="13" spans="1:21" ht="21.9" customHeight="1">
      <c r="B13" s="300"/>
      <c r="C13" s="67"/>
      <c r="D13" s="144" t="s">
        <v>1238</v>
      </c>
      <c r="E13" s="1433"/>
      <c r="F13" s="1434"/>
      <c r="G13" s="1434"/>
      <c r="H13" s="1434"/>
      <c r="I13" s="1434"/>
      <c r="J13" s="1434"/>
      <c r="K13" s="1434"/>
      <c r="L13" s="1434"/>
      <c r="M13" s="1434"/>
      <c r="N13" s="1434"/>
      <c r="O13" s="1434"/>
      <c r="P13" s="1434"/>
      <c r="Q13" s="1434"/>
      <c r="R13" s="1435"/>
    </row>
    <row r="14" spans="1:21" ht="6.9" customHeight="1" thickBot="1">
      <c r="B14" s="300"/>
      <c r="D14" s="5"/>
      <c r="E14" s="5"/>
      <c r="F14" s="5"/>
      <c r="G14" s="5"/>
      <c r="H14" s="5"/>
      <c r="I14" s="5"/>
      <c r="J14" s="5"/>
      <c r="K14" s="5"/>
    </row>
    <row r="15" spans="1:21" ht="15.6" customHeight="1" thickTop="1" thickBot="1">
      <c r="B15" s="1612" t="s">
        <v>2</v>
      </c>
      <c r="C15" s="68"/>
      <c r="D15" s="1450" t="s">
        <v>335</v>
      </c>
      <c r="E15" s="1451"/>
      <c r="F15" s="1451"/>
      <c r="G15" s="1451"/>
      <c r="H15" s="1451"/>
      <c r="I15" s="1451"/>
      <c r="J15" s="1451"/>
      <c r="K15" s="1451"/>
      <c r="L15" s="1624"/>
    </row>
    <row r="16" spans="1:21" ht="15" thickBot="1">
      <c r="B16" s="1613"/>
      <c r="C16" s="69" t="s">
        <v>18</v>
      </c>
      <c r="D16" s="603" t="s">
        <v>252</v>
      </c>
      <c r="E16" s="603" t="s">
        <v>19</v>
      </c>
      <c r="F16" s="603" t="s">
        <v>20</v>
      </c>
      <c r="G16" s="603" t="s">
        <v>21</v>
      </c>
      <c r="H16" s="603" t="s">
        <v>22</v>
      </c>
      <c r="I16" s="603" t="s">
        <v>253</v>
      </c>
      <c r="J16" s="5"/>
      <c r="L16" s="17"/>
    </row>
    <row r="17" spans="2:12" ht="36.6" thickBot="1">
      <c r="B17" s="1613"/>
      <c r="C17" s="70" t="s">
        <v>151</v>
      </c>
      <c r="D17" s="32" t="s">
        <v>818</v>
      </c>
      <c r="E17" s="512">
        <v>0</v>
      </c>
      <c r="F17" s="512">
        <v>4</v>
      </c>
      <c r="G17" s="512">
        <v>4</v>
      </c>
      <c r="H17" s="512">
        <v>2</v>
      </c>
      <c r="I17" s="523">
        <f>SUM(E17:H17)</f>
        <v>10</v>
      </c>
      <c r="J17" s="5"/>
      <c r="L17" s="17"/>
    </row>
    <row r="18" spans="2:12" ht="24.75" customHeight="1" thickBot="1">
      <c r="B18" s="1613"/>
      <c r="C18" s="70" t="s">
        <v>153</v>
      </c>
      <c r="D18" s="32" t="s">
        <v>762</v>
      </c>
      <c r="E18" s="540">
        <v>0</v>
      </c>
      <c r="F18" s="540">
        <v>760000000</v>
      </c>
      <c r="G18" s="540">
        <v>350000000</v>
      </c>
      <c r="H18" s="540">
        <v>450000000</v>
      </c>
      <c r="I18" s="564">
        <f>SUM(E18:H18)</f>
        <v>1560000000</v>
      </c>
      <c r="J18" s="5"/>
      <c r="L18" s="17"/>
    </row>
    <row r="19" spans="2:12" ht="21.75" customHeight="1" thickBot="1">
      <c r="B19" s="1613"/>
      <c r="C19" s="70" t="s">
        <v>155</v>
      </c>
      <c r="D19" s="543" t="s">
        <v>819</v>
      </c>
      <c r="E19" s="540">
        <v>0</v>
      </c>
      <c r="F19" s="540">
        <v>760000000</v>
      </c>
      <c r="G19" s="540">
        <v>350000000</v>
      </c>
      <c r="H19" s="540">
        <v>450000000</v>
      </c>
      <c r="I19" s="111">
        <f>SUM(E19:H19)</f>
        <v>1560000000</v>
      </c>
      <c r="J19" s="520"/>
      <c r="L19" s="17"/>
    </row>
    <row r="20" spans="2:12">
      <c r="B20" s="175"/>
      <c r="C20" s="71"/>
      <c r="D20" s="1441"/>
      <c r="E20" s="1442"/>
      <c r="F20" s="1442"/>
      <c r="G20" s="1442"/>
      <c r="H20" s="1442"/>
      <c r="I20" s="1442"/>
      <c r="J20" s="1442"/>
      <c r="K20" s="1442"/>
      <c r="L20" s="1607"/>
    </row>
    <row r="21" spans="2:12" ht="15" thickBot="1">
      <c r="B21" s="175"/>
      <c r="C21" s="71"/>
      <c r="D21" s="1472" t="s">
        <v>820</v>
      </c>
      <c r="E21" s="1473"/>
      <c r="F21" s="1473"/>
      <c r="G21" s="1473"/>
      <c r="H21" s="1473"/>
      <c r="I21" s="1473"/>
      <c r="J21" s="1473"/>
      <c r="K21" s="1473"/>
      <c r="L21" s="1609"/>
    </row>
    <row r="22" spans="2:12" ht="15" customHeight="1" thickBot="1">
      <c r="B22" s="175"/>
      <c r="C22" s="1562" t="s">
        <v>18</v>
      </c>
      <c r="D22" s="1459" t="s">
        <v>269</v>
      </c>
      <c r="E22" s="1459" t="s">
        <v>618</v>
      </c>
      <c r="F22" s="1462" t="s">
        <v>619</v>
      </c>
      <c r="G22" s="1464"/>
      <c r="H22" s="1462" t="s">
        <v>687</v>
      </c>
      <c r="I22" s="1463"/>
      <c r="J22" s="1463"/>
      <c r="K22" s="1464"/>
      <c r="L22" s="95"/>
    </row>
    <row r="23" spans="2:12" ht="21" thickBot="1">
      <c r="B23" s="175"/>
      <c r="C23" s="1563"/>
      <c r="D23" s="1461"/>
      <c r="E23" s="1461"/>
      <c r="F23" s="55" t="s">
        <v>620</v>
      </c>
      <c r="G23" s="56" t="s">
        <v>621</v>
      </c>
      <c r="H23" s="55" t="s">
        <v>762</v>
      </c>
      <c r="I23" s="55" t="s">
        <v>343</v>
      </c>
      <c r="J23" s="55" t="s">
        <v>273</v>
      </c>
      <c r="K23" s="55" t="s">
        <v>274</v>
      </c>
      <c r="L23" s="8"/>
    </row>
    <row r="24" spans="2:12" ht="48.6" thickBot="1">
      <c r="B24" s="175"/>
      <c r="C24" s="542">
        <v>1</v>
      </c>
      <c r="D24" s="508" t="s">
        <v>1879</v>
      </c>
      <c r="E24" s="541" t="s">
        <v>1883</v>
      </c>
      <c r="F24" s="446"/>
      <c r="G24" s="446"/>
      <c r="H24" s="540"/>
      <c r="I24" s="540"/>
      <c r="J24" s="540"/>
      <c r="K24" s="540"/>
      <c r="L24" s="1320" t="s">
        <v>2004</v>
      </c>
    </row>
    <row r="25" spans="2:12" ht="45" customHeight="1" thickBot="1">
      <c r="B25" s="175"/>
      <c r="C25" s="542">
        <v>2</v>
      </c>
      <c r="D25" s="508" t="s">
        <v>1880</v>
      </c>
      <c r="E25" s="541" t="s">
        <v>1884</v>
      </c>
      <c r="F25" s="446">
        <v>1</v>
      </c>
      <c r="G25" s="446">
        <v>1</v>
      </c>
      <c r="H25" s="735">
        <v>200000000</v>
      </c>
      <c r="I25" s="735">
        <v>200000000</v>
      </c>
      <c r="J25" s="735">
        <v>200000000</v>
      </c>
      <c r="K25" s="735">
        <v>199390040</v>
      </c>
      <c r="L25" s="8"/>
    </row>
    <row r="26" spans="2:12" ht="36.6" thickBot="1">
      <c r="B26" s="175"/>
      <c r="C26" s="542">
        <v>3</v>
      </c>
      <c r="D26" s="508" t="s">
        <v>1881</v>
      </c>
      <c r="E26" s="541" t="s">
        <v>821</v>
      </c>
      <c r="F26" s="446">
        <v>1</v>
      </c>
      <c r="G26" s="446">
        <v>1</v>
      </c>
      <c r="H26" s="735">
        <v>200000000</v>
      </c>
      <c r="I26" s="735">
        <v>200000000</v>
      </c>
      <c r="J26" s="735">
        <v>200000000</v>
      </c>
      <c r="K26" s="735">
        <v>192830000</v>
      </c>
      <c r="L26" s="8"/>
    </row>
    <row r="27" spans="2:12" ht="72.599999999999994" thickBot="1">
      <c r="B27" s="175"/>
      <c r="C27" s="542">
        <v>4</v>
      </c>
      <c r="D27" s="508" t="s">
        <v>1882</v>
      </c>
      <c r="E27" s="541" t="s">
        <v>1883</v>
      </c>
      <c r="F27" s="446"/>
      <c r="G27" s="446"/>
      <c r="H27" s="735"/>
      <c r="I27" s="735"/>
      <c r="J27" s="735"/>
      <c r="K27" s="735"/>
      <c r="L27" s="1320" t="s">
        <v>2004</v>
      </c>
    </row>
    <row r="28" spans="2:12" ht="15" thickBot="1">
      <c r="B28" s="175"/>
      <c r="C28" s="64"/>
      <c r="D28" s="35" t="s">
        <v>150</v>
      </c>
      <c r="E28" s="104"/>
      <c r="F28" s="105"/>
      <c r="G28" s="30"/>
      <c r="H28" s="112">
        <f>SUM(H24:H27)</f>
        <v>400000000</v>
      </c>
      <c r="I28" s="112">
        <f>SUM(I24:I27)</f>
        <v>400000000</v>
      </c>
      <c r="J28" s="112">
        <f>SUM(J24:J27)</f>
        <v>400000000</v>
      </c>
      <c r="K28" s="112">
        <f>SUM(K24:K27)</f>
        <v>392220040</v>
      </c>
      <c r="L28" s="9"/>
    </row>
    <row r="29" spans="2:12">
      <c r="B29" s="175"/>
      <c r="C29" s="71"/>
      <c r="D29" s="1441" t="s">
        <v>822</v>
      </c>
      <c r="E29" s="1442"/>
      <c r="F29" s="1442"/>
      <c r="G29" s="1442"/>
      <c r="H29" s="1442"/>
      <c r="I29" s="1442"/>
      <c r="J29" s="1442"/>
      <c r="K29" s="1442"/>
      <c r="L29" s="1607"/>
    </row>
    <row r="30" spans="2:12" ht="24" customHeight="1" thickBot="1">
      <c r="B30" s="175"/>
      <c r="C30" s="71"/>
      <c r="D30" s="1441" t="s">
        <v>823</v>
      </c>
      <c r="E30" s="1442"/>
      <c r="F30" s="1442"/>
      <c r="G30" s="1442"/>
      <c r="H30" s="1442"/>
      <c r="I30" s="1442"/>
      <c r="J30" s="1442"/>
      <c r="K30" s="1442"/>
      <c r="L30" s="1607"/>
    </row>
    <row r="31" spans="2:12" ht="15" thickBot="1">
      <c r="B31" s="175"/>
      <c r="C31" s="1723" t="s">
        <v>18</v>
      </c>
      <c r="D31" s="1693" t="s">
        <v>691</v>
      </c>
      <c r="E31" s="57" t="s">
        <v>824</v>
      </c>
      <c r="F31" s="1696" t="s">
        <v>692</v>
      </c>
      <c r="G31" s="1697"/>
      <c r="H31" s="1714" t="s">
        <v>54</v>
      </c>
      <c r="I31" s="5"/>
      <c r="J31" s="5"/>
      <c r="L31" s="17"/>
    </row>
    <row r="32" spans="2:12">
      <c r="B32" s="175"/>
      <c r="C32" s="1724"/>
      <c r="D32" s="1694"/>
      <c r="E32" s="1459" t="s">
        <v>825</v>
      </c>
      <c r="F32" s="1459" t="s">
        <v>693</v>
      </c>
      <c r="G32" s="36" t="s">
        <v>694</v>
      </c>
      <c r="H32" s="1715"/>
      <c r="I32" s="5"/>
      <c r="J32" s="5"/>
      <c r="L32" s="17"/>
    </row>
    <row r="33" spans="2:14" ht="15" thickBot="1">
      <c r="B33" s="175"/>
      <c r="C33" s="1725"/>
      <c r="D33" s="1695"/>
      <c r="E33" s="1461"/>
      <c r="F33" s="1461"/>
      <c r="G33" s="32" t="s">
        <v>689</v>
      </c>
      <c r="H33" s="1716"/>
      <c r="I33" s="5"/>
      <c r="J33" s="5"/>
      <c r="L33" s="17"/>
    </row>
    <row r="34" spans="2:14" ht="15" thickBot="1">
      <c r="B34" s="175"/>
      <c r="C34" s="265">
        <v>1</v>
      </c>
      <c r="D34" s="284">
        <v>0</v>
      </c>
      <c r="E34" s="26">
        <f>+G24</f>
        <v>0</v>
      </c>
      <c r="F34" s="726">
        <f t="shared" ref="F34:G37" si="0">IFERROR(J24/I24,0)</f>
        <v>0</v>
      </c>
      <c r="G34" s="726">
        <f t="shared" si="0"/>
        <v>0</v>
      </c>
      <c r="H34" s="25"/>
      <c r="I34" s="5"/>
      <c r="J34" s="5"/>
      <c r="L34" s="17"/>
    </row>
    <row r="35" spans="2:14" ht="15" thickBot="1">
      <c r="B35" s="175"/>
      <c r="C35" s="265">
        <v>2</v>
      </c>
      <c r="D35" s="284">
        <v>0.5</v>
      </c>
      <c r="E35" s="26">
        <f>+G25</f>
        <v>1</v>
      </c>
      <c r="F35" s="726">
        <f t="shared" si="0"/>
        <v>1</v>
      </c>
      <c r="G35" s="726">
        <f t="shared" si="0"/>
        <v>0.99695020000000001</v>
      </c>
      <c r="H35" s="25"/>
      <c r="I35" s="5"/>
      <c r="J35" s="5"/>
      <c r="L35" s="17"/>
    </row>
    <row r="36" spans="2:14" ht="15" thickBot="1">
      <c r="B36" s="175"/>
      <c r="C36" s="265">
        <v>3</v>
      </c>
      <c r="D36" s="284">
        <v>0.5</v>
      </c>
      <c r="E36" s="26">
        <f>+G26</f>
        <v>1</v>
      </c>
      <c r="F36" s="726">
        <f t="shared" si="0"/>
        <v>1</v>
      </c>
      <c r="G36" s="726">
        <f t="shared" si="0"/>
        <v>0.96414999999999995</v>
      </c>
      <c r="H36" s="25"/>
      <c r="I36" s="5"/>
      <c r="J36" s="5"/>
      <c r="L36" s="17"/>
    </row>
    <row r="37" spans="2:14" ht="15" thickBot="1">
      <c r="B37" s="175"/>
      <c r="C37" s="265">
        <v>4</v>
      </c>
      <c r="D37" s="284">
        <v>0</v>
      </c>
      <c r="E37" s="26">
        <f>+G27</f>
        <v>0</v>
      </c>
      <c r="F37" s="726">
        <f t="shared" si="0"/>
        <v>0</v>
      </c>
      <c r="G37" s="726">
        <f t="shared" si="0"/>
        <v>0</v>
      </c>
      <c r="H37" s="25"/>
      <c r="I37" s="5"/>
      <c r="J37" s="5"/>
      <c r="L37" s="17"/>
    </row>
    <row r="38" spans="2:14" ht="15" thickBot="1">
      <c r="B38" s="175"/>
      <c r="C38" s="265">
        <v>5</v>
      </c>
      <c r="D38" s="284"/>
      <c r="E38" s="26" t="e">
        <f>+#REF!</f>
        <v>#REF!</v>
      </c>
      <c r="F38" s="726">
        <f>IFERROR(#REF!/#REF!,0)</f>
        <v>0</v>
      </c>
      <c r="G38" s="726">
        <f>IFERROR(#REF!/#REF!,0)</f>
        <v>0</v>
      </c>
      <c r="H38" s="25"/>
      <c r="I38" s="5"/>
      <c r="J38" s="5"/>
      <c r="L38" s="17"/>
    </row>
    <row r="39" spans="2:14" ht="15" thickBot="1">
      <c r="B39" s="175"/>
      <c r="C39" s="265">
        <v>6</v>
      </c>
      <c r="D39" s="284"/>
      <c r="E39" s="26" t="e">
        <f>+#REF!</f>
        <v>#REF!</v>
      </c>
      <c r="F39" s="726">
        <f>IFERROR(#REF!/#REF!,0)</f>
        <v>0</v>
      </c>
      <c r="G39" s="726">
        <f>IFERROR(#REF!/#REF!,0)</f>
        <v>0</v>
      </c>
      <c r="H39" s="25"/>
      <c r="I39" s="5"/>
      <c r="J39" s="5"/>
      <c r="L39" s="17"/>
    </row>
    <row r="40" spans="2:14" ht="15" thickBot="1">
      <c r="B40" s="37"/>
      <c r="C40" s="85"/>
      <c r="D40" s="153">
        <f>Formulas!$D$24</f>
        <v>1</v>
      </c>
      <c r="E40" s="160" t="e">
        <f>+D34*E34+D35*E35+D36*E36+D37*E37+D38*E38+D39*E39</f>
        <v>#REF!</v>
      </c>
      <c r="F40" s="725">
        <f>+D34*F34+D35*F35+D36*F36+D37*F37+D38*F38+D39*F39</f>
        <v>1</v>
      </c>
      <c r="G40" s="1321">
        <f>Formulas!F24</f>
        <v>0.98055009999999998</v>
      </c>
      <c r="H40" s="25"/>
      <c r="I40" s="18"/>
      <c r="J40" s="18"/>
      <c r="K40" s="18"/>
      <c r="L40" s="19"/>
      <c r="N40" t="s">
        <v>1189</v>
      </c>
    </row>
    <row r="41" spans="2:14" ht="15" thickBot="1">
      <c r="B41" s="29"/>
      <c r="C41" s="67"/>
      <c r="D41" s="5"/>
      <c r="E41" s="5"/>
      <c r="F41" s="5"/>
      <c r="G41" s="5"/>
      <c r="H41" s="5"/>
      <c r="I41" s="5"/>
      <c r="J41" s="5"/>
      <c r="K41" s="5"/>
    </row>
    <row r="42" spans="2:14" ht="96.6" thickBot="1">
      <c r="B42" s="42" t="s">
        <v>33</v>
      </c>
      <c r="C42" s="77"/>
      <c r="D42" s="34" t="s">
        <v>826</v>
      </c>
      <c r="E42" s="5"/>
      <c r="F42" s="5"/>
      <c r="G42" s="5"/>
      <c r="H42" s="5"/>
      <c r="I42" s="5"/>
      <c r="J42" s="5"/>
      <c r="K42" s="5"/>
    </row>
    <row r="43" spans="2:14" ht="48.6" customHeight="1" thickBot="1">
      <c r="B43" s="37" t="s">
        <v>35</v>
      </c>
      <c r="C43" s="2"/>
      <c r="D43" s="32" t="s">
        <v>345</v>
      </c>
      <c r="E43" s="5"/>
      <c r="F43" s="5"/>
      <c r="G43" s="5"/>
      <c r="H43" s="5"/>
      <c r="I43" s="5"/>
      <c r="J43" s="5"/>
      <c r="K43" s="5"/>
    </row>
    <row r="44" spans="2:14" ht="15" thickBot="1">
      <c r="B44" s="1"/>
      <c r="C44" s="64"/>
      <c r="D44" s="5"/>
      <c r="E44" s="5"/>
      <c r="F44" s="5"/>
      <c r="G44" s="5"/>
      <c r="H44" s="5"/>
      <c r="I44" s="5"/>
      <c r="J44" s="5"/>
      <c r="K44" s="5"/>
    </row>
    <row r="45" spans="2:14" ht="24" customHeight="1" thickBot="1">
      <c r="B45" s="1469" t="s">
        <v>37</v>
      </c>
      <c r="C45" s="1470"/>
      <c r="D45" s="1470"/>
      <c r="E45" s="1471"/>
      <c r="F45" s="5"/>
      <c r="G45" s="5"/>
      <c r="H45" s="5"/>
      <c r="I45" s="5"/>
      <c r="J45" s="5"/>
      <c r="K45" s="5"/>
    </row>
    <row r="46" spans="2:14" ht="15" thickBot="1">
      <c r="B46" s="1459">
        <v>1</v>
      </c>
      <c r="C46" s="73"/>
      <c r="D46" s="38" t="s">
        <v>38</v>
      </c>
      <c r="E46" s="133" t="s">
        <v>1814</v>
      </c>
      <c r="F46" s="5"/>
      <c r="G46" s="5"/>
      <c r="H46" s="5"/>
      <c r="I46" s="5"/>
      <c r="J46" s="5"/>
      <c r="K46" s="5"/>
    </row>
    <row r="47" spans="2:14" ht="24.6" thickBot="1">
      <c r="B47" s="1460"/>
      <c r="C47" s="73"/>
      <c r="D47" s="32" t="s">
        <v>39</v>
      </c>
      <c r="E47" s="282" t="s">
        <v>1824</v>
      </c>
      <c r="F47" s="5"/>
      <c r="G47" s="5"/>
      <c r="H47" s="5"/>
      <c r="I47" s="5"/>
      <c r="J47" s="5"/>
      <c r="K47" s="5"/>
    </row>
    <row r="48" spans="2:14" ht="15" thickBot="1">
      <c r="B48" s="1460"/>
      <c r="C48" s="73"/>
      <c r="D48" s="32" t="s">
        <v>40</v>
      </c>
      <c r="E48" s="133" t="s">
        <v>2037</v>
      </c>
      <c r="F48" s="5"/>
      <c r="G48" s="5"/>
      <c r="H48" s="5"/>
      <c r="I48" s="5"/>
      <c r="J48" s="5"/>
      <c r="K48" s="5"/>
    </row>
    <row r="49" spans="2:11" ht="15" thickBot="1">
      <c r="B49" s="1460"/>
      <c r="C49" s="73"/>
      <c r="D49" s="32" t="s">
        <v>41</v>
      </c>
      <c r="E49" s="133" t="s">
        <v>2050</v>
      </c>
      <c r="F49" s="5"/>
      <c r="G49" s="5"/>
      <c r="H49" s="5"/>
      <c r="I49" s="5"/>
      <c r="J49" s="5"/>
      <c r="K49" s="5"/>
    </row>
    <row r="50" spans="2:11" ht="29.4" thickBot="1">
      <c r="B50" s="1460"/>
      <c r="C50" s="73"/>
      <c r="D50" s="32" t="s">
        <v>42</v>
      </c>
      <c r="E50" s="448" t="s">
        <v>1825</v>
      </c>
      <c r="F50" s="5"/>
      <c r="G50" s="5"/>
      <c r="H50" s="5"/>
      <c r="I50" s="5"/>
      <c r="J50" s="5"/>
      <c r="K50" s="5"/>
    </row>
    <row r="51" spans="2:11" ht="15" thickBot="1">
      <c r="B51" s="1460"/>
      <c r="C51" s="73"/>
      <c r="D51" s="32" t="s">
        <v>43</v>
      </c>
      <c r="E51" s="544" t="s">
        <v>1826</v>
      </c>
      <c r="F51" s="5"/>
      <c r="G51" s="5"/>
      <c r="H51" s="5"/>
      <c r="I51" s="5"/>
      <c r="J51" s="5"/>
      <c r="K51" s="5"/>
    </row>
    <row r="52" spans="2:11" ht="15" thickBot="1">
      <c r="B52" s="1461"/>
      <c r="C52" s="2"/>
      <c r="D52" s="32" t="s">
        <v>44</v>
      </c>
      <c r="E52" s="282" t="s">
        <v>1817</v>
      </c>
      <c r="F52" s="5"/>
      <c r="G52" s="5"/>
      <c r="H52" s="5"/>
      <c r="I52" s="5"/>
      <c r="J52" s="5"/>
      <c r="K52" s="5"/>
    </row>
    <row r="53" spans="2:11" ht="15" thickBot="1">
      <c r="B53" s="1"/>
      <c r="C53" s="64"/>
      <c r="D53" s="5"/>
      <c r="E53" s="5"/>
      <c r="F53" s="5"/>
      <c r="G53" s="5"/>
      <c r="H53" s="5"/>
      <c r="I53" s="5"/>
      <c r="J53" s="5"/>
      <c r="K53" s="5"/>
    </row>
    <row r="54" spans="2:11" ht="15" thickBot="1">
      <c r="B54" s="1469" t="s">
        <v>45</v>
      </c>
      <c r="C54" s="1470"/>
      <c r="D54" s="1470"/>
      <c r="E54" s="1471"/>
      <c r="F54" s="5"/>
      <c r="G54" s="5"/>
      <c r="H54" s="5"/>
      <c r="I54" s="5"/>
      <c r="J54" s="5"/>
      <c r="K54" s="5"/>
    </row>
    <row r="55" spans="2:11" ht="15" thickBot="1">
      <c r="B55" s="1459">
        <v>1</v>
      </c>
      <c r="C55" s="73"/>
      <c r="D55" s="38" t="s">
        <v>38</v>
      </c>
      <c r="E55" s="177" t="s">
        <v>46</v>
      </c>
      <c r="F55" s="5"/>
      <c r="G55" s="5"/>
      <c r="H55" s="5"/>
      <c r="I55" s="5"/>
      <c r="J55" s="5"/>
      <c r="K55" s="5"/>
    </row>
    <row r="56" spans="2:11" ht="15" thickBot="1">
      <c r="B56" s="1460"/>
      <c r="C56" s="73"/>
      <c r="D56" s="32" t="s">
        <v>39</v>
      </c>
      <c r="E56" s="177" t="s">
        <v>159</v>
      </c>
      <c r="F56" s="5"/>
      <c r="G56" s="5"/>
      <c r="H56" s="5"/>
      <c r="I56" s="5"/>
      <c r="J56" s="5"/>
      <c r="K56" s="5"/>
    </row>
    <row r="57" spans="2:11" ht="15" thickBot="1">
      <c r="B57" s="1460"/>
      <c r="C57" s="73"/>
      <c r="D57" s="32" t="s">
        <v>40</v>
      </c>
      <c r="E57" s="138"/>
      <c r="F57" s="5"/>
      <c r="G57" s="5"/>
      <c r="H57" s="5"/>
      <c r="I57" s="5"/>
      <c r="J57" s="5"/>
      <c r="K57" s="5"/>
    </row>
    <row r="58" spans="2:11" ht="15" thickBot="1">
      <c r="B58" s="1460"/>
      <c r="C58" s="73"/>
      <c r="D58" s="32" t="s">
        <v>41</v>
      </c>
      <c r="E58" s="138"/>
      <c r="F58" s="5"/>
      <c r="G58" s="5"/>
      <c r="H58" s="5"/>
      <c r="I58" s="5"/>
      <c r="J58" s="5"/>
      <c r="K58" s="5"/>
    </row>
    <row r="59" spans="2:11" ht="15" thickBot="1">
      <c r="B59" s="1460"/>
      <c r="C59" s="73"/>
      <c r="D59" s="32" t="s">
        <v>42</v>
      </c>
      <c r="E59" s="138"/>
      <c r="F59" s="5"/>
      <c r="G59" s="5"/>
      <c r="H59" s="5"/>
      <c r="I59" s="5"/>
      <c r="J59" s="5"/>
      <c r="K59" s="5"/>
    </row>
    <row r="60" spans="2:11" ht="15" thickBot="1">
      <c r="B60" s="1460"/>
      <c r="C60" s="73"/>
      <c r="D60" s="32" t="s">
        <v>43</v>
      </c>
      <c r="E60" s="138"/>
      <c r="F60" s="5"/>
      <c r="G60" s="5"/>
      <c r="H60" s="5"/>
      <c r="I60" s="5"/>
      <c r="J60" s="5"/>
      <c r="K60" s="5"/>
    </row>
    <row r="61" spans="2:11" ht="15" thickBot="1">
      <c r="B61" s="1461"/>
      <c r="C61" s="2"/>
      <c r="D61" s="32" t="s">
        <v>44</v>
      </c>
      <c r="E61" s="138"/>
      <c r="F61" s="5"/>
      <c r="G61" s="5"/>
      <c r="H61" s="5"/>
      <c r="I61" s="5"/>
      <c r="J61" s="5"/>
      <c r="K61" s="5"/>
    </row>
    <row r="62" spans="2:11" ht="15" thickBot="1">
      <c r="B62" s="1"/>
      <c r="C62" s="64"/>
      <c r="D62" s="5"/>
      <c r="E62" s="5"/>
      <c r="F62" s="5"/>
      <c r="G62" s="5"/>
      <c r="H62" s="5"/>
      <c r="I62" s="5"/>
      <c r="J62" s="5"/>
      <c r="K62" s="5"/>
    </row>
    <row r="63" spans="2:11" ht="15" customHeight="1" thickBot="1">
      <c r="B63" s="100" t="s">
        <v>48</v>
      </c>
      <c r="C63" s="101"/>
      <c r="D63" s="101"/>
      <c r="E63" s="102"/>
      <c r="G63" s="5"/>
      <c r="H63" s="5"/>
      <c r="I63" s="5"/>
      <c r="J63" s="5"/>
      <c r="K63" s="5"/>
    </row>
    <row r="64" spans="2:11" ht="24.6" thickBot="1">
      <c r="B64" s="37" t="s">
        <v>49</v>
      </c>
      <c r="C64" s="32" t="s">
        <v>50</v>
      </c>
      <c r="D64" s="32" t="s">
        <v>51</v>
      </c>
      <c r="E64" s="32" t="s">
        <v>52</v>
      </c>
      <c r="F64" s="5"/>
      <c r="G64" s="5"/>
      <c r="H64" s="5"/>
      <c r="I64" s="5"/>
      <c r="J64" s="5"/>
    </row>
    <row r="65" spans="2:11" ht="72.599999999999994" thickBot="1">
      <c r="B65" s="39">
        <v>42401</v>
      </c>
      <c r="C65" s="32">
        <v>0.01</v>
      </c>
      <c r="D65" s="40" t="s">
        <v>827</v>
      </c>
      <c r="E65" s="32"/>
      <c r="F65" s="5"/>
      <c r="G65" s="5"/>
      <c r="H65" s="5"/>
      <c r="I65" s="5"/>
      <c r="J65" s="5"/>
    </row>
    <row r="66" spans="2:11" ht="15" thickBot="1">
      <c r="B66" s="3"/>
      <c r="C66" s="74"/>
      <c r="D66" s="5"/>
      <c r="E66" s="5"/>
      <c r="F66" s="5"/>
      <c r="G66" s="5"/>
      <c r="H66" s="5"/>
      <c r="I66" s="5"/>
      <c r="J66" s="5"/>
      <c r="K66" s="5"/>
    </row>
    <row r="67" spans="2:11" ht="15" thickBot="1">
      <c r="B67" s="285" t="s">
        <v>54</v>
      </c>
      <c r="C67" s="75"/>
      <c r="D67" s="5"/>
      <c r="E67" s="5"/>
      <c r="F67" s="5"/>
      <c r="G67" s="5"/>
      <c r="H67" s="5"/>
      <c r="I67" s="5"/>
      <c r="J67" s="5"/>
      <c r="K67" s="5"/>
    </row>
    <row r="68" spans="2:11">
      <c r="B68" s="1717"/>
      <c r="C68" s="1718"/>
      <c r="D68" s="1718"/>
      <c r="E68" s="1719"/>
      <c r="F68" s="5"/>
      <c r="G68" s="5"/>
      <c r="H68" s="5"/>
      <c r="I68" s="5"/>
      <c r="J68" s="5"/>
      <c r="K68" s="5"/>
    </row>
    <row r="69" spans="2:11" ht="15" thickBot="1">
      <c r="B69" s="1720"/>
      <c r="C69" s="1721"/>
      <c r="D69" s="1721"/>
      <c r="E69" s="1722"/>
      <c r="F69" s="5"/>
      <c r="G69" s="5"/>
      <c r="H69" s="5"/>
      <c r="I69" s="5"/>
      <c r="J69" s="5"/>
      <c r="K69" s="5"/>
    </row>
    <row r="70" spans="2:11">
      <c r="B70" s="1"/>
      <c r="C70" s="64"/>
      <c r="D70" s="5"/>
      <c r="E70" s="5"/>
      <c r="F70" s="5"/>
      <c r="G70" s="5"/>
      <c r="H70" s="5"/>
      <c r="I70" s="5"/>
      <c r="J70" s="5"/>
      <c r="K70" s="5"/>
    </row>
    <row r="71" spans="2:11" ht="15" thickBot="1">
      <c r="B71" s="5"/>
      <c r="D71" s="5"/>
      <c r="E71" s="5"/>
      <c r="F71" s="5"/>
      <c r="G71" s="5"/>
      <c r="H71" s="5"/>
      <c r="I71" s="5"/>
      <c r="J71" s="5"/>
      <c r="K71" s="5"/>
    </row>
    <row r="72" spans="2:11" ht="24.6" thickBot="1">
      <c r="B72" s="41" t="s">
        <v>55</v>
      </c>
      <c r="C72" s="76"/>
      <c r="D72" s="5"/>
      <c r="E72" s="5"/>
      <c r="F72" s="5"/>
      <c r="G72" s="5"/>
      <c r="H72" s="5"/>
      <c r="I72" s="5"/>
      <c r="J72" s="5"/>
      <c r="K72" s="5"/>
    </row>
    <row r="73" spans="2:11" ht="15" thickBot="1">
      <c r="B73" s="29"/>
      <c r="C73" s="67"/>
      <c r="D73" s="5"/>
      <c r="E73" s="5"/>
      <c r="F73" s="5"/>
      <c r="G73" s="5"/>
      <c r="H73" s="5"/>
      <c r="I73" s="5"/>
      <c r="J73" s="5"/>
      <c r="K73" s="5"/>
    </row>
    <row r="74" spans="2:11" ht="48.6" thickBot="1">
      <c r="B74" s="42" t="s">
        <v>56</v>
      </c>
      <c r="C74" s="77"/>
      <c r="D74" s="34" t="s">
        <v>768</v>
      </c>
      <c r="E74" s="5"/>
      <c r="F74" s="5"/>
      <c r="G74" s="5"/>
      <c r="H74" s="5"/>
      <c r="I74" s="5"/>
      <c r="J74" s="5"/>
      <c r="K74" s="5"/>
    </row>
    <row r="75" spans="2:11">
      <c r="B75" s="1459" t="s">
        <v>58</v>
      </c>
      <c r="C75" s="73"/>
      <c r="D75" s="43" t="s">
        <v>59</v>
      </c>
      <c r="E75" s="5"/>
      <c r="F75" s="5"/>
      <c r="G75" s="5"/>
      <c r="H75" s="5"/>
      <c r="I75" s="5"/>
      <c r="J75" s="5"/>
      <c r="K75" s="5"/>
    </row>
    <row r="76" spans="2:11" ht="96">
      <c r="B76" s="1460"/>
      <c r="C76" s="73"/>
      <c r="D76" s="36" t="s">
        <v>769</v>
      </c>
      <c r="E76" s="5"/>
      <c r="F76" s="5"/>
      <c r="G76" s="5"/>
      <c r="H76" s="5"/>
      <c r="I76" s="5"/>
      <c r="J76" s="5"/>
      <c r="K76" s="5"/>
    </row>
    <row r="77" spans="2:11">
      <c r="B77" s="1460"/>
      <c r="C77" s="73"/>
      <c r="D77" s="36" t="s">
        <v>770</v>
      </c>
      <c r="E77" s="5"/>
      <c r="F77" s="5"/>
      <c r="G77" s="5"/>
      <c r="H77" s="5"/>
      <c r="I77" s="5"/>
      <c r="J77" s="5"/>
      <c r="K77" s="5"/>
    </row>
    <row r="78" spans="2:11" ht="24">
      <c r="B78" s="1460"/>
      <c r="C78" s="73"/>
      <c r="D78" s="36" t="s">
        <v>771</v>
      </c>
      <c r="E78" s="5"/>
      <c r="F78" s="5"/>
      <c r="G78" s="5"/>
      <c r="H78" s="5"/>
      <c r="I78" s="5"/>
      <c r="J78" s="5"/>
      <c r="K78" s="5"/>
    </row>
    <row r="79" spans="2:11" ht="24">
      <c r="B79" s="1460"/>
      <c r="C79" s="73"/>
      <c r="D79" s="36" t="s">
        <v>772</v>
      </c>
      <c r="E79" s="5"/>
      <c r="F79" s="5"/>
      <c r="G79" s="5"/>
      <c r="H79" s="5"/>
      <c r="I79" s="5"/>
      <c r="J79" s="5"/>
      <c r="K79" s="5"/>
    </row>
    <row r="80" spans="2:11">
      <c r="B80" s="1460"/>
      <c r="C80" s="73"/>
      <c r="D80" s="43" t="s">
        <v>287</v>
      </c>
      <c r="E80" s="5"/>
      <c r="F80" s="5"/>
      <c r="G80" s="5"/>
      <c r="H80" s="5"/>
      <c r="I80" s="5"/>
      <c r="J80" s="5"/>
      <c r="K80" s="5"/>
    </row>
    <row r="81" spans="2:11" ht="24">
      <c r="B81" s="1460"/>
      <c r="C81" s="73"/>
      <c r="D81" s="36" t="s">
        <v>773</v>
      </c>
      <c r="E81" s="5"/>
      <c r="F81" s="5"/>
      <c r="G81" s="5"/>
      <c r="H81" s="5"/>
      <c r="I81" s="5"/>
      <c r="J81" s="5"/>
      <c r="K81" s="5"/>
    </row>
    <row r="82" spans="2:11">
      <c r="B82" s="1460"/>
      <c r="C82" s="73"/>
      <c r="D82" s="36" t="s">
        <v>774</v>
      </c>
      <c r="E82" s="5"/>
      <c r="F82" s="5"/>
      <c r="G82" s="5"/>
      <c r="H82" s="5"/>
      <c r="I82" s="5"/>
      <c r="J82" s="5"/>
      <c r="K82" s="5"/>
    </row>
    <row r="83" spans="2:11" ht="24">
      <c r="B83" s="1460"/>
      <c r="C83" s="73"/>
      <c r="D83" s="36" t="s">
        <v>775</v>
      </c>
      <c r="E83" s="5"/>
      <c r="F83" s="5"/>
      <c r="G83" s="5"/>
      <c r="H83" s="5"/>
      <c r="I83" s="5"/>
      <c r="J83" s="5"/>
      <c r="K83" s="5"/>
    </row>
    <row r="84" spans="2:11" ht="36">
      <c r="B84" s="1460"/>
      <c r="C84" s="73"/>
      <c r="D84" s="36" t="s">
        <v>776</v>
      </c>
      <c r="E84" s="5"/>
      <c r="F84" s="5"/>
      <c r="G84" s="5"/>
      <c r="H84" s="5"/>
      <c r="I84" s="5"/>
      <c r="J84" s="5"/>
      <c r="K84" s="5"/>
    </row>
    <row r="85" spans="2:11" ht="24">
      <c r="B85" s="1460"/>
      <c r="C85" s="73"/>
      <c r="D85" s="36" t="s">
        <v>777</v>
      </c>
      <c r="E85" s="5"/>
      <c r="F85" s="5"/>
      <c r="G85" s="5"/>
      <c r="H85" s="5"/>
      <c r="I85" s="5"/>
      <c r="J85" s="5"/>
      <c r="K85" s="5"/>
    </row>
    <row r="86" spans="2:11" ht="48">
      <c r="B86" s="1460"/>
      <c r="C86" s="73"/>
      <c r="D86" s="36" t="s">
        <v>778</v>
      </c>
      <c r="E86" s="5"/>
      <c r="F86" s="5"/>
      <c r="G86" s="5"/>
      <c r="H86" s="5"/>
      <c r="I86" s="5"/>
      <c r="J86" s="5"/>
      <c r="K86" s="5"/>
    </row>
    <row r="87" spans="2:11" ht="36">
      <c r="B87" s="1460"/>
      <c r="C87" s="73"/>
      <c r="D87" s="36" t="s">
        <v>779</v>
      </c>
      <c r="E87" s="5"/>
      <c r="F87" s="5"/>
      <c r="G87" s="5"/>
      <c r="H87" s="5"/>
      <c r="I87" s="5"/>
      <c r="J87" s="5"/>
      <c r="K87" s="5"/>
    </row>
    <row r="88" spans="2:11">
      <c r="B88" s="1460"/>
      <c r="C88" s="73"/>
      <c r="D88" s="36" t="s">
        <v>780</v>
      </c>
      <c r="E88" s="5"/>
      <c r="F88" s="5"/>
      <c r="G88" s="5"/>
      <c r="H88" s="5"/>
      <c r="I88" s="5"/>
      <c r="J88" s="5"/>
      <c r="K88" s="5"/>
    </row>
    <row r="89" spans="2:11" ht="24">
      <c r="B89" s="1460"/>
      <c r="C89" s="73"/>
      <c r="D89" s="36" t="s">
        <v>781</v>
      </c>
      <c r="E89" s="5"/>
      <c r="F89" s="5"/>
      <c r="G89" s="5"/>
      <c r="H89" s="5"/>
      <c r="I89" s="5"/>
      <c r="J89" s="5"/>
      <c r="K89" s="5"/>
    </row>
    <row r="90" spans="2:11" ht="58.2" thickBot="1">
      <c r="B90" s="1461"/>
      <c r="C90" s="2"/>
      <c r="D90" s="46" t="s">
        <v>782</v>
      </c>
      <c r="E90" s="5"/>
      <c r="F90" s="5"/>
      <c r="G90" s="5"/>
      <c r="H90" s="5"/>
      <c r="I90" s="5"/>
      <c r="J90" s="5"/>
      <c r="K90" s="5"/>
    </row>
    <row r="91" spans="2:11">
      <c r="B91" s="1459" t="s">
        <v>71</v>
      </c>
      <c r="C91" s="78"/>
      <c r="D91" s="1459"/>
      <c r="E91" s="5"/>
      <c r="F91" s="5"/>
      <c r="G91" s="5"/>
      <c r="H91" s="5"/>
      <c r="I91" s="5"/>
      <c r="J91" s="5"/>
      <c r="K91" s="5"/>
    </row>
    <row r="92" spans="2:11" ht="15" thickBot="1">
      <c r="B92" s="1461"/>
      <c r="C92" s="79"/>
      <c r="D92" s="1461"/>
      <c r="E92" s="5"/>
      <c r="F92" s="5"/>
      <c r="G92" s="5"/>
      <c r="H92" s="5"/>
      <c r="I92" s="5"/>
      <c r="J92" s="5"/>
      <c r="K92" s="5"/>
    </row>
    <row r="93" spans="2:11" ht="120">
      <c r="B93" s="1459" t="s">
        <v>72</v>
      </c>
      <c r="C93" s="73"/>
      <c r="D93" s="36" t="s">
        <v>783</v>
      </c>
      <c r="E93" s="5"/>
      <c r="F93" s="5"/>
      <c r="G93" s="5"/>
      <c r="H93" s="5"/>
      <c r="I93" s="5"/>
      <c r="J93" s="5"/>
      <c r="K93" s="5"/>
    </row>
    <row r="94" spans="2:11" ht="156">
      <c r="B94" s="1460"/>
      <c r="C94" s="73"/>
      <c r="D94" s="36" t="s">
        <v>784</v>
      </c>
      <c r="E94" s="5"/>
      <c r="F94" s="5"/>
      <c r="G94" s="5"/>
      <c r="H94" s="5"/>
      <c r="I94" s="5"/>
      <c r="J94" s="5"/>
      <c r="K94" s="5"/>
    </row>
    <row r="95" spans="2:11" ht="36">
      <c r="B95" s="1460"/>
      <c r="C95" s="73"/>
      <c r="D95" s="36" t="s">
        <v>785</v>
      </c>
      <c r="E95" s="5"/>
      <c r="F95" s="5"/>
      <c r="G95" s="5"/>
      <c r="H95" s="5"/>
      <c r="I95" s="5"/>
      <c r="J95" s="5"/>
      <c r="K95" s="5"/>
    </row>
    <row r="96" spans="2:11" ht="36">
      <c r="B96" s="1460"/>
      <c r="C96" s="73"/>
      <c r="D96" s="36" t="s">
        <v>786</v>
      </c>
      <c r="E96" s="5"/>
      <c r="F96" s="5"/>
      <c r="G96" s="5"/>
      <c r="H96" s="5"/>
      <c r="I96" s="5"/>
      <c r="J96" s="5"/>
      <c r="K96" s="5"/>
    </row>
    <row r="97" spans="2:11" ht="36">
      <c r="B97" s="1460"/>
      <c r="C97" s="73"/>
      <c r="D97" s="36" t="s">
        <v>787</v>
      </c>
      <c r="E97" s="5"/>
      <c r="F97" s="5"/>
      <c r="G97" s="5"/>
      <c r="H97" s="5"/>
      <c r="I97" s="5"/>
      <c r="J97" s="5"/>
      <c r="K97" s="5"/>
    </row>
    <row r="98" spans="2:11" ht="36">
      <c r="B98" s="1460"/>
      <c r="C98" s="73"/>
      <c r="D98" s="36" t="s">
        <v>788</v>
      </c>
      <c r="E98" s="5"/>
      <c r="F98" s="5"/>
      <c r="G98" s="5"/>
      <c r="H98" s="5"/>
      <c r="I98" s="5"/>
      <c r="J98" s="5"/>
      <c r="K98" s="5"/>
    </row>
    <row r="99" spans="2:11" ht="48">
      <c r="B99" s="1460"/>
      <c r="C99" s="73"/>
      <c r="D99" s="36" t="s">
        <v>789</v>
      </c>
      <c r="E99" s="5"/>
      <c r="F99" s="5"/>
      <c r="G99" s="5"/>
      <c r="H99" s="5"/>
      <c r="I99" s="5"/>
      <c r="J99" s="5"/>
      <c r="K99" s="5"/>
    </row>
    <row r="100" spans="2:11" ht="36">
      <c r="B100" s="1460"/>
      <c r="C100" s="73"/>
      <c r="D100" s="21" t="s">
        <v>790</v>
      </c>
      <c r="E100" s="5"/>
      <c r="F100" s="5"/>
      <c r="G100" s="5"/>
      <c r="H100" s="5"/>
      <c r="I100" s="5"/>
      <c r="J100" s="5"/>
      <c r="K100" s="5"/>
    </row>
    <row r="101" spans="2:11" ht="36">
      <c r="B101" s="1460"/>
      <c r="C101" s="73"/>
      <c r="D101" s="21" t="s">
        <v>791</v>
      </c>
      <c r="E101" s="5"/>
      <c r="F101" s="5"/>
      <c r="G101" s="5"/>
      <c r="H101" s="5"/>
      <c r="I101" s="5"/>
      <c r="J101" s="5"/>
      <c r="K101" s="5"/>
    </row>
    <row r="102" spans="2:11" ht="24">
      <c r="B102" s="1460"/>
      <c r="C102" s="73"/>
      <c r="D102" s="21" t="s">
        <v>792</v>
      </c>
      <c r="E102" s="5"/>
      <c r="F102" s="5"/>
      <c r="G102" s="5"/>
      <c r="H102" s="5"/>
      <c r="I102" s="5"/>
      <c r="J102" s="5"/>
      <c r="K102" s="5"/>
    </row>
    <row r="103" spans="2:11" ht="24">
      <c r="B103" s="1460"/>
      <c r="C103" s="73"/>
      <c r="D103" s="21" t="s">
        <v>793</v>
      </c>
      <c r="E103" s="5"/>
      <c r="F103" s="5"/>
      <c r="G103" s="5"/>
      <c r="H103" s="5"/>
      <c r="I103" s="5"/>
      <c r="J103" s="5"/>
      <c r="K103" s="5"/>
    </row>
    <row r="104" spans="2:11" ht="48">
      <c r="B104" s="1460"/>
      <c r="C104" s="73"/>
      <c r="D104" s="21" t="s">
        <v>794</v>
      </c>
      <c r="E104" s="5"/>
      <c r="F104" s="5"/>
      <c r="G104" s="5"/>
      <c r="H104" s="5"/>
      <c r="I104" s="5"/>
      <c r="J104" s="5"/>
      <c r="K104" s="5"/>
    </row>
    <row r="105" spans="2:11" ht="24">
      <c r="B105" s="1460"/>
      <c r="C105" s="73"/>
      <c r="D105" s="21" t="s">
        <v>795</v>
      </c>
      <c r="E105" s="5"/>
      <c r="F105" s="5"/>
      <c r="G105" s="5"/>
      <c r="H105" s="5"/>
      <c r="I105" s="5"/>
      <c r="J105" s="5"/>
      <c r="K105" s="5"/>
    </row>
    <row r="106" spans="2:11" ht="24">
      <c r="B106" s="1460"/>
      <c r="C106" s="73"/>
      <c r="D106" s="21" t="s">
        <v>796</v>
      </c>
      <c r="E106" s="5"/>
      <c r="F106" s="5"/>
      <c r="G106" s="5"/>
      <c r="H106" s="5"/>
      <c r="I106" s="5"/>
      <c r="J106" s="5"/>
      <c r="K106" s="5"/>
    </row>
    <row r="107" spans="2:11" ht="48">
      <c r="B107" s="1460"/>
      <c r="C107" s="73"/>
      <c r="D107" s="21" t="s">
        <v>797</v>
      </c>
      <c r="E107" s="5"/>
      <c r="F107" s="5"/>
      <c r="G107" s="5"/>
      <c r="H107" s="5"/>
      <c r="I107" s="5"/>
      <c r="J107" s="5"/>
      <c r="K107" s="5"/>
    </row>
    <row r="108" spans="2:11" ht="24">
      <c r="B108" s="1460"/>
      <c r="C108" s="73"/>
      <c r="D108" s="21" t="s">
        <v>798</v>
      </c>
      <c r="E108" s="5"/>
      <c r="F108" s="5"/>
      <c r="G108" s="5"/>
      <c r="H108" s="5"/>
      <c r="I108" s="5"/>
      <c r="J108" s="5"/>
      <c r="K108" s="5"/>
    </row>
    <row r="109" spans="2:11" ht="24">
      <c r="B109" s="1460"/>
      <c r="C109" s="73"/>
      <c r="D109" s="21" t="s">
        <v>799</v>
      </c>
      <c r="E109" s="5"/>
      <c r="F109" s="5"/>
      <c r="G109" s="5"/>
      <c r="H109" s="5"/>
      <c r="I109" s="5"/>
      <c r="J109" s="5"/>
      <c r="K109" s="5"/>
    </row>
    <row r="110" spans="2:11">
      <c r="B110" s="1460"/>
      <c r="C110" s="73"/>
      <c r="D110" s="21" t="s">
        <v>800</v>
      </c>
      <c r="E110" s="5"/>
      <c r="F110" s="5"/>
      <c r="G110" s="5"/>
      <c r="H110" s="5"/>
      <c r="I110" s="5"/>
      <c r="J110" s="5"/>
      <c r="K110" s="5"/>
    </row>
    <row r="111" spans="2:11" ht="36">
      <c r="B111" s="1460"/>
      <c r="C111" s="73"/>
      <c r="D111" s="21" t="s">
        <v>801</v>
      </c>
      <c r="E111" s="5"/>
      <c r="F111" s="5"/>
      <c r="G111" s="5"/>
      <c r="H111" s="5"/>
      <c r="I111" s="5"/>
      <c r="J111" s="5"/>
      <c r="K111" s="5"/>
    </row>
    <row r="112" spans="2:11" ht="36">
      <c r="B112" s="1460"/>
      <c r="C112" s="73"/>
      <c r="D112" s="21" t="s">
        <v>802</v>
      </c>
      <c r="E112" s="5"/>
      <c r="F112" s="5"/>
      <c r="G112" s="5"/>
      <c r="H112" s="5"/>
      <c r="I112" s="5"/>
      <c r="J112" s="5"/>
      <c r="K112" s="5"/>
    </row>
    <row r="113" spans="2:11" ht="24">
      <c r="B113" s="1460"/>
      <c r="C113" s="73"/>
      <c r="D113" s="21" t="s">
        <v>803</v>
      </c>
      <c r="E113" s="5"/>
      <c r="F113" s="5"/>
      <c r="G113" s="5"/>
      <c r="H113" s="5"/>
      <c r="I113" s="5"/>
      <c r="J113" s="5"/>
      <c r="K113" s="5"/>
    </row>
    <row r="114" spans="2:11" ht="216">
      <c r="B114" s="1460"/>
      <c r="C114" s="73"/>
      <c r="D114" s="36" t="s">
        <v>804</v>
      </c>
      <c r="E114" s="5"/>
      <c r="F114" s="5"/>
      <c r="G114" s="5"/>
      <c r="H114" s="5"/>
      <c r="I114" s="5"/>
      <c r="J114" s="5"/>
      <c r="K114" s="5"/>
    </row>
    <row r="115" spans="2:11" ht="48.6" thickBot="1">
      <c r="B115" s="1461"/>
      <c r="C115" s="2"/>
      <c r="D115" s="32" t="s">
        <v>805</v>
      </c>
      <c r="E115" s="5"/>
      <c r="F115" s="5"/>
      <c r="G115" s="5"/>
      <c r="H115" s="5"/>
      <c r="I115" s="5"/>
      <c r="J115" s="5"/>
      <c r="K115" s="5"/>
    </row>
    <row r="116" spans="2:11" ht="24">
      <c r="B116" s="1459" t="s">
        <v>89</v>
      </c>
      <c r="C116" s="73"/>
      <c r="D116" s="43" t="s">
        <v>767</v>
      </c>
      <c r="E116" s="5"/>
      <c r="F116" s="5"/>
      <c r="G116" s="5"/>
      <c r="H116" s="5"/>
      <c r="I116" s="5"/>
      <c r="J116" s="5"/>
      <c r="K116" s="5"/>
    </row>
    <row r="117" spans="2:11" ht="20.399999999999999" customHeight="1">
      <c r="B117" s="1460"/>
      <c r="C117" s="73"/>
      <c r="D117" s="13"/>
      <c r="E117" s="5"/>
      <c r="F117" s="5"/>
      <c r="G117" s="5"/>
      <c r="H117" s="5"/>
      <c r="I117" s="5"/>
      <c r="J117" s="5"/>
      <c r="K117" s="5"/>
    </row>
    <row r="118" spans="2:11">
      <c r="B118" s="1460"/>
      <c r="C118" s="73"/>
      <c r="D118" s="36" t="s">
        <v>90</v>
      </c>
      <c r="E118" s="5"/>
      <c r="F118" s="5"/>
      <c r="G118" s="5"/>
      <c r="H118" s="5"/>
      <c r="I118" s="5"/>
      <c r="J118" s="5"/>
      <c r="K118" s="5"/>
    </row>
    <row r="119" spans="2:11" ht="38.4">
      <c r="B119" s="1460"/>
      <c r="C119" s="73"/>
      <c r="D119" s="36" t="s">
        <v>806</v>
      </c>
      <c r="E119" s="5"/>
      <c r="F119" s="5"/>
      <c r="G119" s="5"/>
      <c r="H119" s="5"/>
      <c r="I119" s="5"/>
      <c r="J119" s="5"/>
      <c r="K119" s="5"/>
    </row>
    <row r="120" spans="2:11" ht="38.4">
      <c r="B120" s="1460"/>
      <c r="C120" s="73"/>
      <c r="D120" s="36" t="s">
        <v>807</v>
      </c>
      <c r="E120" s="5"/>
      <c r="F120" s="5"/>
      <c r="G120" s="5"/>
      <c r="H120" s="5"/>
      <c r="I120" s="5"/>
      <c r="J120" s="5"/>
      <c r="K120" s="5"/>
    </row>
    <row r="121" spans="2:11" ht="38.4">
      <c r="B121" s="1460"/>
      <c r="C121" s="73"/>
      <c r="D121" s="36" t="s">
        <v>808</v>
      </c>
      <c r="E121" s="5"/>
      <c r="F121" s="5"/>
      <c r="G121" s="5"/>
      <c r="H121" s="5"/>
      <c r="I121" s="5"/>
      <c r="J121" s="5"/>
      <c r="K121" s="5"/>
    </row>
    <row r="122" spans="2:11" ht="38.4">
      <c r="B122" s="1460"/>
      <c r="C122" s="73"/>
      <c r="D122" s="36" t="s">
        <v>809</v>
      </c>
      <c r="E122" s="5"/>
      <c r="F122" s="5"/>
      <c r="G122" s="5"/>
      <c r="H122" s="5"/>
      <c r="I122" s="5"/>
      <c r="J122" s="5"/>
      <c r="K122" s="5"/>
    </row>
    <row r="123" spans="2:11">
      <c r="B123" s="1460"/>
      <c r="C123" s="73"/>
      <c r="D123" s="36" t="s">
        <v>810</v>
      </c>
      <c r="E123" s="5"/>
      <c r="F123" s="5"/>
      <c r="G123" s="5"/>
      <c r="H123" s="5"/>
      <c r="I123" s="5"/>
      <c r="J123" s="5"/>
      <c r="K123" s="5"/>
    </row>
    <row r="124" spans="2:11">
      <c r="B124" s="1460"/>
      <c r="C124" s="73"/>
      <c r="D124" s="36" t="s">
        <v>811</v>
      </c>
      <c r="E124" s="5"/>
      <c r="F124" s="5"/>
      <c r="G124" s="5"/>
      <c r="H124" s="5"/>
      <c r="I124" s="5"/>
      <c r="J124" s="5"/>
      <c r="K124" s="5"/>
    </row>
    <row r="125" spans="2:11">
      <c r="B125" s="1460"/>
      <c r="C125" s="73"/>
      <c r="D125" s="36" t="s">
        <v>812</v>
      </c>
      <c r="E125" s="5"/>
      <c r="F125" s="5"/>
      <c r="G125" s="5"/>
      <c r="H125" s="5"/>
      <c r="I125" s="5"/>
      <c r="J125" s="5"/>
      <c r="K125" s="5"/>
    </row>
    <row r="126" spans="2:11">
      <c r="B126" s="1460"/>
      <c r="C126" s="73"/>
      <c r="D126" s="36" t="s">
        <v>813</v>
      </c>
      <c r="E126" s="5"/>
      <c r="F126" s="5"/>
      <c r="G126" s="5"/>
      <c r="H126" s="5"/>
      <c r="I126" s="5"/>
      <c r="J126" s="5"/>
      <c r="K126" s="5"/>
    </row>
    <row r="127" spans="2:11" ht="72">
      <c r="B127" s="1460"/>
      <c r="C127" s="73"/>
      <c r="D127" s="44" t="s">
        <v>234</v>
      </c>
      <c r="E127" s="5"/>
      <c r="F127" s="5"/>
      <c r="G127" s="5"/>
      <c r="H127" s="5"/>
      <c r="I127" s="5"/>
      <c r="J127" s="5"/>
      <c r="K127" s="5"/>
    </row>
    <row r="128" spans="2:11">
      <c r="B128" s="1460"/>
      <c r="C128" s="73"/>
      <c r="D128" s="36" t="s">
        <v>245</v>
      </c>
      <c r="E128" s="5"/>
      <c r="F128" s="5"/>
      <c r="G128" s="5"/>
      <c r="H128" s="5"/>
      <c r="I128" s="5"/>
      <c r="J128" s="5"/>
      <c r="K128" s="5"/>
    </row>
    <row r="129" spans="2:11" ht="48">
      <c r="B129" s="1460"/>
      <c r="C129" s="73"/>
      <c r="D129" s="43" t="s">
        <v>814</v>
      </c>
      <c r="E129" s="5"/>
      <c r="F129" s="5"/>
      <c r="G129" s="5"/>
      <c r="H129" s="5"/>
      <c r="I129" s="5"/>
      <c r="J129" s="5"/>
      <c r="K129" s="5"/>
    </row>
    <row r="130" spans="2:11">
      <c r="B130" s="1460"/>
      <c r="C130" s="73"/>
      <c r="D130" s="13"/>
      <c r="E130" s="5"/>
      <c r="F130" s="5"/>
      <c r="G130" s="5"/>
      <c r="H130" s="5"/>
      <c r="I130" s="5"/>
      <c r="J130" s="5"/>
      <c r="K130" s="5"/>
    </row>
    <row r="131" spans="2:11">
      <c r="B131" s="1460"/>
      <c r="C131" s="73"/>
      <c r="D131" s="36" t="s">
        <v>90</v>
      </c>
      <c r="E131" s="5"/>
      <c r="F131" s="5"/>
      <c r="G131" s="5"/>
      <c r="H131" s="5"/>
      <c r="I131" s="5"/>
      <c r="J131" s="5"/>
      <c r="K131" s="5"/>
    </row>
    <row r="132" spans="2:11" ht="38.4">
      <c r="B132" s="1460"/>
      <c r="C132" s="73"/>
      <c r="D132" s="36" t="s">
        <v>815</v>
      </c>
      <c r="E132" s="5"/>
      <c r="F132" s="5"/>
      <c r="G132" s="5"/>
      <c r="H132" s="5"/>
      <c r="I132" s="5"/>
      <c r="J132" s="5"/>
      <c r="K132" s="5"/>
    </row>
    <row r="133" spans="2:11" ht="38.4">
      <c r="B133" s="1460"/>
      <c r="C133" s="73"/>
      <c r="D133" s="36" t="s">
        <v>816</v>
      </c>
      <c r="E133" s="5"/>
      <c r="F133" s="5"/>
      <c r="G133" s="5"/>
      <c r="H133" s="5"/>
      <c r="I133" s="5"/>
      <c r="J133" s="5"/>
      <c r="K133" s="5"/>
    </row>
    <row r="134" spans="2:11" ht="39" thickBot="1">
      <c r="B134" s="1461"/>
      <c r="C134" s="2"/>
      <c r="D134" s="32" t="s">
        <v>817</v>
      </c>
      <c r="E134" s="5"/>
      <c r="F134" s="5"/>
      <c r="G134" s="5"/>
      <c r="H134" s="5"/>
      <c r="I134" s="5"/>
      <c r="J134" s="5"/>
      <c r="K134" s="5"/>
    </row>
    <row r="135" spans="2:11">
      <c r="B135" s="5"/>
      <c r="D135" s="5"/>
      <c r="E135" s="5"/>
      <c r="F135" s="5"/>
      <c r="G135" s="5"/>
      <c r="H135" s="5"/>
      <c r="I135" s="5"/>
      <c r="J135" s="5"/>
      <c r="K135" s="5"/>
    </row>
    <row r="136" spans="2:11">
      <c r="B136" s="5"/>
      <c r="D136" s="5"/>
      <c r="E136" s="5"/>
      <c r="F136" s="5"/>
      <c r="G136" s="5"/>
      <c r="H136" s="5"/>
      <c r="I136" s="5"/>
      <c r="J136" s="5"/>
      <c r="K136" s="5"/>
    </row>
    <row r="137" spans="2:11">
      <c r="B137" s="5"/>
      <c r="D137" s="5"/>
      <c r="E137" s="5"/>
      <c r="F137" s="5"/>
      <c r="G137" s="5"/>
      <c r="H137" s="5"/>
      <c r="I137" s="5"/>
      <c r="J137" s="5"/>
      <c r="K137" s="5"/>
    </row>
    <row r="138" spans="2:11">
      <c r="B138" s="5"/>
      <c r="D138" s="5"/>
      <c r="E138" s="5"/>
      <c r="F138" s="5"/>
      <c r="G138" s="5"/>
      <c r="H138" s="5"/>
      <c r="I138" s="5"/>
      <c r="J138" s="5"/>
      <c r="K138" s="5"/>
    </row>
    <row r="139" spans="2:11">
      <c r="B139" s="5"/>
      <c r="D139" s="5"/>
      <c r="E139" s="5"/>
      <c r="F139" s="5"/>
      <c r="G139" s="5"/>
      <c r="H139" s="5"/>
      <c r="I139" s="5"/>
      <c r="J139" s="5"/>
      <c r="K139" s="5"/>
    </row>
    <row r="140" spans="2:11">
      <c r="B140" s="5"/>
      <c r="D140" s="5"/>
      <c r="E140" s="5"/>
      <c r="F140" s="5"/>
      <c r="G140" s="5"/>
      <c r="H140" s="5"/>
      <c r="I140" s="5"/>
      <c r="J140" s="5"/>
      <c r="K140" s="5"/>
    </row>
    <row r="141" spans="2:11">
      <c r="B141" s="5"/>
      <c r="D141" s="5"/>
      <c r="E141" s="5"/>
      <c r="F141" s="5"/>
      <c r="G141" s="5"/>
      <c r="H141" s="5"/>
      <c r="I141" s="5"/>
      <c r="J141" s="5"/>
      <c r="K141" s="5"/>
    </row>
    <row r="142" spans="2:11">
      <c r="B142" s="5"/>
      <c r="D142" s="5"/>
      <c r="E142" s="5"/>
      <c r="F142" s="5"/>
      <c r="G142" s="5"/>
      <c r="H142" s="5"/>
      <c r="I142" s="5"/>
      <c r="J142" s="5"/>
      <c r="K142" s="5"/>
    </row>
    <row r="143" spans="2:11">
      <c r="B143" s="5"/>
      <c r="D143" s="5"/>
      <c r="E143" s="5"/>
      <c r="F143" s="5"/>
      <c r="G143" s="5"/>
      <c r="H143" s="5"/>
      <c r="I143" s="5"/>
      <c r="J143" s="5"/>
      <c r="K143" s="5"/>
    </row>
    <row r="144" spans="2:11">
      <c r="B144" s="5"/>
      <c r="D144" s="5"/>
      <c r="E144" s="5"/>
      <c r="F144" s="5"/>
      <c r="G144" s="5"/>
      <c r="H144" s="5"/>
      <c r="I144" s="5"/>
      <c r="J144" s="5"/>
      <c r="K144" s="5"/>
    </row>
    <row r="145" spans="2:11">
      <c r="B145" s="5"/>
      <c r="D145" s="5"/>
      <c r="E145" s="5"/>
      <c r="F145" s="5"/>
      <c r="G145" s="5"/>
      <c r="H145" s="5"/>
      <c r="I145" s="5"/>
      <c r="J145" s="5"/>
      <c r="K145" s="5"/>
    </row>
    <row r="146" spans="2:11">
      <c r="B146" s="5"/>
      <c r="D146" s="5"/>
      <c r="E146" s="5"/>
      <c r="F146" s="5"/>
      <c r="G146" s="5"/>
      <c r="H146" s="5"/>
      <c r="I146" s="5"/>
      <c r="J146" s="5"/>
      <c r="K146" s="5"/>
    </row>
    <row r="147" spans="2:11">
      <c r="B147" s="5"/>
      <c r="D147" s="5"/>
      <c r="E147" s="5"/>
      <c r="F147" s="5"/>
      <c r="G147" s="5"/>
      <c r="H147" s="5"/>
      <c r="I147" s="5"/>
      <c r="J147" s="5"/>
      <c r="K147" s="5"/>
    </row>
    <row r="148" spans="2:11">
      <c r="B148" s="5"/>
      <c r="D148" s="5"/>
      <c r="E148" s="5"/>
      <c r="F148" s="5"/>
      <c r="G148" s="5"/>
      <c r="H148" s="5"/>
      <c r="I148" s="5"/>
      <c r="J148" s="5"/>
      <c r="K148" s="5"/>
    </row>
    <row r="149" spans="2:11">
      <c r="B149" s="5"/>
      <c r="D149" s="5"/>
      <c r="E149" s="5"/>
      <c r="F149" s="5"/>
      <c r="G149" s="5"/>
      <c r="H149" s="5"/>
      <c r="I149" s="5"/>
      <c r="J149" s="5"/>
      <c r="K149" s="5"/>
    </row>
    <row r="150" spans="2:11">
      <c r="B150" s="5"/>
      <c r="D150" s="5"/>
      <c r="E150" s="5"/>
      <c r="F150" s="5"/>
      <c r="G150" s="5"/>
      <c r="H150" s="5"/>
      <c r="I150" s="5"/>
      <c r="J150" s="5"/>
      <c r="K150" s="5"/>
    </row>
    <row r="151" spans="2:11">
      <c r="B151" s="5"/>
      <c r="D151" s="5"/>
      <c r="E151" s="5"/>
      <c r="F151" s="5"/>
      <c r="G151" s="5"/>
      <c r="H151" s="5"/>
      <c r="I151" s="5"/>
      <c r="J151" s="5"/>
      <c r="K151" s="5"/>
    </row>
    <row r="152" spans="2:11">
      <c r="B152" s="5"/>
      <c r="D152" s="5"/>
      <c r="E152" s="5"/>
      <c r="F152" s="5"/>
      <c r="G152" s="5"/>
      <c r="H152" s="5"/>
      <c r="I152" s="5"/>
      <c r="J152" s="5"/>
      <c r="K152" s="5"/>
    </row>
    <row r="153" spans="2:11">
      <c r="B153" s="5"/>
      <c r="D153" s="5"/>
      <c r="E153" s="5"/>
      <c r="F153" s="5"/>
      <c r="G153" s="5"/>
      <c r="H153" s="5"/>
      <c r="I153" s="5"/>
      <c r="J153" s="5"/>
      <c r="K153" s="5"/>
    </row>
    <row r="154" spans="2:11">
      <c r="B154" s="5"/>
      <c r="D154" s="5"/>
      <c r="E154" s="5"/>
      <c r="F154" s="5"/>
      <c r="G154" s="5"/>
      <c r="H154" s="5"/>
      <c r="I154" s="5"/>
      <c r="J154" s="5"/>
      <c r="K154" s="5"/>
    </row>
    <row r="155" spans="2:11">
      <c r="B155" s="5"/>
      <c r="D155" s="5"/>
      <c r="E155" s="5"/>
      <c r="F155" s="5"/>
      <c r="G155" s="5"/>
      <c r="H155" s="5"/>
      <c r="I155" s="5"/>
      <c r="J155" s="5"/>
      <c r="K155" s="5"/>
    </row>
    <row r="156" spans="2:11">
      <c r="B156" s="5"/>
      <c r="D156" s="5"/>
      <c r="E156" s="5"/>
      <c r="F156" s="5"/>
      <c r="G156" s="5"/>
      <c r="H156" s="5"/>
      <c r="I156" s="5"/>
      <c r="J156" s="5"/>
      <c r="K156" s="5"/>
    </row>
    <row r="157" spans="2:11">
      <c r="B157" s="5"/>
      <c r="D157" s="5"/>
      <c r="E157" s="5"/>
      <c r="F157" s="5"/>
      <c r="G157" s="5"/>
      <c r="H157" s="5"/>
      <c r="I157" s="5"/>
      <c r="J157" s="5"/>
      <c r="K157" s="5"/>
    </row>
    <row r="158" spans="2:11">
      <c r="B158" s="5"/>
      <c r="D158" s="5"/>
      <c r="E158" s="5"/>
      <c r="F158" s="5"/>
      <c r="G158" s="5"/>
      <c r="H158" s="5"/>
      <c r="I158" s="5"/>
      <c r="J158" s="5"/>
      <c r="K158" s="5"/>
    </row>
    <row r="159" spans="2:11">
      <c r="B159" s="5"/>
      <c r="D159" s="5"/>
      <c r="E159" s="5"/>
      <c r="F159" s="5"/>
      <c r="G159" s="5"/>
      <c r="H159" s="5"/>
      <c r="I159" s="5"/>
      <c r="J159" s="5"/>
      <c r="K159" s="5"/>
    </row>
    <row r="160" spans="2:11">
      <c r="B160" s="5"/>
      <c r="D160" s="5"/>
      <c r="E160" s="5"/>
      <c r="F160" s="5"/>
      <c r="G160" s="5"/>
      <c r="H160" s="5"/>
      <c r="I160" s="5"/>
      <c r="J160" s="5"/>
      <c r="K160" s="5"/>
    </row>
    <row r="161" spans="2:11">
      <c r="B161" s="5"/>
      <c r="D161" s="5"/>
      <c r="E161" s="5"/>
      <c r="F161" s="5"/>
      <c r="G161" s="5"/>
      <c r="H161" s="5"/>
      <c r="I161" s="5"/>
      <c r="J161" s="5"/>
      <c r="K161" s="5"/>
    </row>
    <row r="162" spans="2:11">
      <c r="B162" s="5"/>
      <c r="D162" s="5"/>
      <c r="E162" s="5"/>
      <c r="F162" s="5"/>
      <c r="G162" s="5"/>
      <c r="H162" s="5"/>
      <c r="I162" s="5"/>
      <c r="J162" s="5"/>
      <c r="K162" s="5"/>
    </row>
    <row r="163" spans="2:11">
      <c r="B163" s="5"/>
      <c r="D163" s="5"/>
      <c r="E163" s="5"/>
      <c r="F163" s="5"/>
      <c r="G163" s="5"/>
      <c r="H163" s="5"/>
      <c r="I163" s="5"/>
      <c r="J163" s="5"/>
      <c r="K163" s="5"/>
    </row>
    <row r="164" spans="2:11">
      <c r="B164" s="5"/>
      <c r="D164" s="5"/>
      <c r="E164" s="5"/>
      <c r="F164" s="5"/>
      <c r="G164" s="5"/>
      <c r="H164" s="5"/>
      <c r="I164" s="5"/>
      <c r="J164" s="5"/>
      <c r="K164" s="5"/>
    </row>
    <row r="165" spans="2:11">
      <c r="B165" s="5"/>
      <c r="D165" s="5"/>
      <c r="E165" s="5"/>
      <c r="F165" s="5"/>
      <c r="G165" s="5"/>
      <c r="H165" s="5"/>
      <c r="I165" s="5"/>
      <c r="J165" s="5"/>
      <c r="K165" s="5"/>
    </row>
    <row r="166" spans="2:11">
      <c r="B166" s="5"/>
      <c r="D166" s="5"/>
      <c r="E166" s="5"/>
      <c r="F166" s="5"/>
      <c r="G166" s="5"/>
      <c r="H166" s="5"/>
      <c r="I166" s="5"/>
      <c r="J166" s="5"/>
      <c r="K166" s="5"/>
    </row>
    <row r="167" spans="2:11">
      <c r="B167" s="5"/>
      <c r="D167" s="5"/>
      <c r="E167" s="5"/>
      <c r="F167" s="5"/>
      <c r="G167" s="5"/>
      <c r="H167" s="5"/>
      <c r="I167" s="5"/>
      <c r="J167" s="5"/>
      <c r="K167" s="5"/>
    </row>
    <row r="168" spans="2:11">
      <c r="B168" s="5"/>
      <c r="D168" s="5"/>
      <c r="E168" s="5"/>
      <c r="F168" s="5"/>
      <c r="G168" s="5"/>
      <c r="H168" s="5"/>
      <c r="I168" s="5"/>
      <c r="J168" s="5"/>
      <c r="K168" s="5"/>
    </row>
    <row r="169" spans="2:11">
      <c r="B169" s="5"/>
      <c r="D169" s="5"/>
      <c r="E169" s="5"/>
      <c r="F169" s="5"/>
      <c r="G169" s="5"/>
      <c r="H169" s="5"/>
      <c r="I169" s="5"/>
      <c r="J169" s="5"/>
      <c r="K169" s="5"/>
    </row>
    <row r="170" spans="2:11">
      <c r="B170" s="5"/>
      <c r="D170" s="5"/>
      <c r="E170" s="5"/>
      <c r="F170" s="5"/>
      <c r="G170" s="5"/>
      <c r="H170" s="5"/>
      <c r="I170" s="5"/>
      <c r="J170" s="5"/>
      <c r="K170" s="5"/>
    </row>
    <row r="171" spans="2:11">
      <c r="B171" s="5"/>
      <c r="D171" s="5"/>
      <c r="E171" s="5"/>
      <c r="F171" s="5"/>
      <c r="G171" s="5"/>
      <c r="H171" s="5"/>
      <c r="I171" s="5"/>
      <c r="J171" s="5"/>
      <c r="K171" s="5"/>
    </row>
    <row r="172" spans="2:11">
      <c r="B172" s="5"/>
      <c r="D172" s="5"/>
      <c r="E172" s="5"/>
      <c r="F172" s="5"/>
      <c r="G172" s="5"/>
      <c r="H172" s="5"/>
      <c r="I172" s="5"/>
      <c r="J172" s="5"/>
      <c r="K172" s="5"/>
    </row>
    <row r="173" spans="2:11">
      <c r="B173" s="5"/>
      <c r="D173" s="5"/>
      <c r="E173" s="5"/>
      <c r="F173" s="5"/>
      <c r="G173" s="5"/>
      <c r="H173" s="5"/>
      <c r="I173" s="5"/>
      <c r="J173" s="5"/>
      <c r="K173" s="5"/>
    </row>
    <row r="174" spans="2:11">
      <c r="B174" s="5"/>
      <c r="D174" s="5"/>
      <c r="E174" s="5"/>
      <c r="F174" s="5"/>
      <c r="G174" s="5"/>
      <c r="H174" s="5"/>
      <c r="I174" s="5"/>
      <c r="J174" s="5"/>
      <c r="K174" s="5"/>
    </row>
    <row r="175" spans="2:11">
      <c r="B175" s="5"/>
      <c r="D175" s="5"/>
      <c r="E175" s="5"/>
      <c r="F175" s="5"/>
      <c r="G175" s="5"/>
      <c r="H175" s="5"/>
      <c r="I175" s="5"/>
      <c r="J175" s="5"/>
      <c r="K175" s="5"/>
    </row>
    <row r="176" spans="2:11">
      <c r="B176" s="5"/>
      <c r="D176" s="5"/>
      <c r="E176" s="5"/>
      <c r="F176" s="5"/>
      <c r="G176" s="5"/>
      <c r="H176" s="5"/>
      <c r="I176" s="5"/>
      <c r="J176" s="5"/>
      <c r="K176" s="5"/>
    </row>
    <row r="177" spans="2:11">
      <c r="B177" s="5"/>
      <c r="D177" s="5"/>
      <c r="E177" s="5"/>
      <c r="F177" s="5"/>
      <c r="G177" s="5"/>
      <c r="H177" s="5"/>
      <c r="I177" s="5"/>
      <c r="J177" s="5"/>
      <c r="K177" s="5"/>
    </row>
    <row r="178" spans="2:11">
      <c r="B178" s="5"/>
      <c r="D178" s="5"/>
      <c r="E178" s="5"/>
      <c r="F178" s="5"/>
      <c r="G178" s="5"/>
      <c r="H178" s="5"/>
      <c r="I178" s="5"/>
      <c r="J178" s="5"/>
      <c r="K178" s="5"/>
    </row>
  </sheetData>
  <mergeCells count="37">
    <mergeCell ref="B10:D10"/>
    <mergeCell ref="F10:S10"/>
    <mergeCell ref="F11:S11"/>
    <mergeCell ref="E12:R12"/>
    <mergeCell ref="E13:R13"/>
    <mergeCell ref="B116:B134"/>
    <mergeCell ref="B68:E69"/>
    <mergeCell ref="C22:C23"/>
    <mergeCell ref="B75:B90"/>
    <mergeCell ref="B91:B92"/>
    <mergeCell ref="D91:D92"/>
    <mergeCell ref="B93:B115"/>
    <mergeCell ref="C31:C33"/>
    <mergeCell ref="D31:D33"/>
    <mergeCell ref="B45:E45"/>
    <mergeCell ref="B46:B52"/>
    <mergeCell ref="B54:E54"/>
    <mergeCell ref="B55:B61"/>
    <mergeCell ref="F31:G31"/>
    <mergeCell ref="H31:H33"/>
    <mergeCell ref="E32:E33"/>
    <mergeCell ref="F32:F33"/>
    <mergeCell ref="D29:L29"/>
    <mergeCell ref="D30:L30"/>
    <mergeCell ref="B15:B19"/>
    <mergeCell ref="D21:L21"/>
    <mergeCell ref="D22:D23"/>
    <mergeCell ref="E22:E23"/>
    <mergeCell ref="F22:G22"/>
    <mergeCell ref="H22:K22"/>
    <mergeCell ref="D15:L15"/>
    <mergeCell ref="D20:L20"/>
    <mergeCell ref="A1:P1"/>
    <mergeCell ref="A2:P2"/>
    <mergeCell ref="A3:P3"/>
    <mergeCell ref="A4:D4"/>
    <mergeCell ref="A5:P5"/>
  </mergeCells>
  <conditionalFormatting sqref="D40">
    <cfRule type="containsText" dxfId="42" priority="5" operator="containsText" text="ERROR">
      <formula>NOT(ISERROR(SEARCH("ERROR",D40)))</formula>
    </cfRule>
  </conditionalFormatting>
  <conditionalFormatting sqref="E12:R12">
    <cfRule type="expression" dxfId="41" priority="1">
      <formula>E11="SI SE REPORTA"</formula>
    </cfRule>
  </conditionalFormatting>
  <conditionalFormatting sqref="F10">
    <cfRule type="notContainsBlanks" dxfId="40" priority="4">
      <formula>LEN(TRIM(F10))&gt;0</formula>
    </cfRule>
  </conditionalFormatting>
  <conditionalFormatting sqref="F11:S11">
    <cfRule type="expression" dxfId="39" priority="2">
      <formula>E11="NO SE REPORTA"</formula>
    </cfRule>
    <cfRule type="expression" dxfId="38" priority="3">
      <formula>E10="NO APLICA"</formula>
    </cfRule>
  </conditionalFormatting>
  <dataValidations count="6">
    <dataValidation type="whole" operator="greaterThanOrEqual" allowBlank="1" showErrorMessage="1" errorTitle="ERROR" error="Escriba un número igual o mayor que 0" promptTitle="ERROR" prompt="Escriba un número igual o mayor que 0" sqref="E17:H17" xr:uid="{00000000-0002-0000-1800-000000000000}">
      <formula1>0</formula1>
    </dataValidation>
    <dataValidation type="whole" operator="greaterThanOrEqual" allowBlank="1" showInputMessage="1" showErrorMessage="1" errorTitle="ERROR" error="Valor en PESOS (sin centavos)" sqref="E18:H19 H24:K27" xr:uid="{00000000-0002-0000-1800-000001000000}">
      <formula1>0</formula1>
    </dataValidation>
    <dataValidation type="decimal" allowBlank="1" showInputMessage="1" showErrorMessage="1" errorTitle="ERROR" error="Escriba un valor entre 0% y 100%" sqref="E34:E39 F24:G27" xr:uid="{00000000-0002-0000-1800-000002000000}">
      <formula1>0</formula1>
      <formula2>1</formula2>
    </dataValidation>
    <dataValidation allowBlank="1" showInputMessage="1" showErrorMessage="1" sqref="H28:K28 D40:E40 F34:G40" xr:uid="{00000000-0002-0000-1800-000003000000}"/>
    <dataValidation type="list" allowBlank="1" showInputMessage="1" showErrorMessage="1" sqref="E11" xr:uid="{00000000-0002-0000-1800-000004000000}">
      <formula1>REPORTE</formula1>
    </dataValidation>
    <dataValidation type="list" allowBlank="1" showInputMessage="1" showErrorMessage="1" sqref="E10" xr:uid="{00000000-0002-0000-1800-000005000000}">
      <formula1>SI</formula1>
    </dataValidation>
  </dataValidations>
  <hyperlinks>
    <hyperlink ref="D90" r:id="rId1" xr:uid="{00000000-0004-0000-1800-000000000000}"/>
    <hyperlink ref="B9" location="'ANEXO 3'!A1" display="VOLVER AL INDICE" xr:uid="{00000000-0004-0000-1800-000001000000}"/>
    <hyperlink ref="E50" r:id="rId2" xr:uid="{00000000-0004-0000-1800-000002000000}"/>
  </hyperlinks>
  <pageMargins left="0.25" right="0.25" top="0.75" bottom="0.75" header="0.3" footer="0.3"/>
  <pageSetup paperSize="178" orientation="landscape" horizontalDpi="1200" verticalDpi="1200" r:id="rId3"/>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31"/>
  <dimension ref="A1:U189"/>
  <sheetViews>
    <sheetView showGridLines="0" topLeftCell="A55" zoomScale="98" zoomScaleNormal="98" workbookViewId="0">
      <selection activeCell="F54" sqref="F54"/>
    </sheetView>
  </sheetViews>
  <sheetFormatPr baseColWidth="10" defaultRowHeight="14.4"/>
  <cols>
    <col min="1" max="1" width="1.88671875" customWidth="1"/>
    <col min="2" max="2" width="12.88671875" customWidth="1"/>
    <col min="3" max="3" width="5" style="66" bestFit="1" customWidth="1"/>
    <col min="4" max="4" width="34.88671875" customWidth="1"/>
    <col min="5" max="5" width="26" customWidth="1"/>
    <col min="9" max="9" width="11.5546875" style="110"/>
  </cols>
  <sheetData>
    <row r="1" spans="1:21" s="314" customFormat="1" ht="100.5" customHeight="1" thickBot="1">
      <c r="A1" s="1421"/>
      <c r="B1" s="1422"/>
      <c r="C1" s="1422"/>
      <c r="D1" s="1422"/>
      <c r="E1" s="1422"/>
      <c r="F1" s="1422"/>
      <c r="G1" s="1422"/>
      <c r="H1" s="1422"/>
      <c r="I1" s="1422"/>
      <c r="J1" s="1422"/>
      <c r="K1" s="1422"/>
      <c r="L1" s="1422"/>
      <c r="M1" s="1422"/>
      <c r="N1" s="1422"/>
      <c r="O1" s="1422"/>
      <c r="P1" s="1423"/>
      <c r="Q1"/>
      <c r="R1"/>
    </row>
    <row r="2" spans="1:21" s="315" customFormat="1" ht="16.2" thickBot="1">
      <c r="A2" s="1418" t="str">
        <f>+'[9]Datos Generales'!C5</f>
        <v>Corporación Autónoma Regional del Atlántico – CRA</v>
      </c>
      <c r="B2" s="1419"/>
      <c r="C2" s="1419"/>
      <c r="D2" s="1419"/>
      <c r="E2" s="1419"/>
      <c r="F2" s="1419"/>
      <c r="G2" s="1419"/>
      <c r="H2" s="1419"/>
      <c r="I2" s="1419"/>
      <c r="J2" s="1419"/>
      <c r="K2" s="1419"/>
      <c r="L2" s="1419"/>
      <c r="M2" s="1419"/>
      <c r="N2" s="1419"/>
      <c r="O2" s="1419"/>
      <c r="P2" s="1420"/>
      <c r="Q2"/>
      <c r="R2"/>
    </row>
    <row r="3" spans="1:21" s="315" customFormat="1" ht="16.2" thickBot="1">
      <c r="A3" s="1426" t="s">
        <v>1295</v>
      </c>
      <c r="B3" s="1427"/>
      <c r="C3" s="1427"/>
      <c r="D3" s="1427"/>
      <c r="E3" s="1427"/>
      <c r="F3" s="1427"/>
      <c r="G3" s="1427"/>
      <c r="H3" s="1427"/>
      <c r="I3" s="1427"/>
      <c r="J3" s="1427"/>
      <c r="K3" s="1427"/>
      <c r="L3" s="1427"/>
      <c r="M3" s="1427"/>
      <c r="N3" s="1427"/>
      <c r="O3" s="1427"/>
      <c r="P3" s="1428"/>
      <c r="Q3"/>
      <c r="R3"/>
    </row>
    <row r="4" spans="1:21" s="315" customFormat="1" ht="16.2" thickBot="1">
      <c r="A4" s="1424" t="s">
        <v>1294</v>
      </c>
      <c r="B4" s="1425"/>
      <c r="C4" s="1425"/>
      <c r="D4" s="1425"/>
      <c r="E4" s="322" t="str">
        <f>+'[8]Datos Generales'!C6</f>
        <v>2023-II</v>
      </c>
      <c r="F4" s="322"/>
      <c r="G4" s="322"/>
      <c r="H4" s="322"/>
      <c r="I4" s="322"/>
      <c r="J4" s="322"/>
      <c r="K4" s="322"/>
      <c r="L4" s="323"/>
      <c r="M4" s="323"/>
      <c r="N4" s="323"/>
      <c r="O4" s="323"/>
      <c r="P4" s="324"/>
      <c r="Q4"/>
      <c r="R4"/>
    </row>
    <row r="5" spans="1:21" ht="16.5" customHeight="1" thickBot="1">
      <c r="A5" s="1426" t="s">
        <v>828</v>
      </c>
      <c r="B5" s="1427"/>
      <c r="C5" s="1427"/>
      <c r="D5" s="1427"/>
      <c r="E5" s="1427"/>
      <c r="F5" s="1427"/>
      <c r="G5" s="1427"/>
      <c r="H5" s="1427"/>
      <c r="I5" s="1427"/>
      <c r="J5" s="1427"/>
      <c r="K5" s="1427"/>
      <c r="L5" s="1427"/>
      <c r="M5" s="1427"/>
      <c r="N5" s="1427"/>
      <c r="O5" s="1427"/>
      <c r="P5" s="1428"/>
    </row>
    <row r="6" spans="1:21">
      <c r="B6" s="3" t="s">
        <v>1</v>
      </c>
      <c r="C6" s="74"/>
      <c r="D6" s="5"/>
      <c r="E6" s="62"/>
      <c r="F6" s="5" t="s">
        <v>127</v>
      </c>
      <c r="G6" s="5"/>
      <c r="H6" s="5"/>
      <c r="I6" s="66"/>
      <c r="J6" s="5"/>
      <c r="K6" s="5"/>
    </row>
    <row r="7" spans="1:21" ht="15" thickBot="1">
      <c r="B7" s="63"/>
      <c r="C7" s="65"/>
      <c r="D7" s="5"/>
      <c r="E7" s="14"/>
      <c r="F7" s="5" t="s">
        <v>128</v>
      </c>
      <c r="G7" s="5"/>
      <c r="H7" s="5"/>
      <c r="I7" s="66"/>
      <c r="J7" s="5"/>
      <c r="K7" s="5"/>
    </row>
    <row r="8" spans="1:21" ht="15" thickBot="1">
      <c r="B8" s="144" t="s">
        <v>1180</v>
      </c>
      <c r="C8" s="571">
        <v>2023</v>
      </c>
      <c r="D8" s="171">
        <f>IF(E10="NO APLICA","NO APLICA",IF(E11="NO SE REPORTA","SIN INFORMACION",+G57))</f>
        <v>0.80397435897435909</v>
      </c>
      <c r="E8" s="168"/>
      <c r="F8" s="5" t="s">
        <v>129</v>
      </c>
      <c r="G8" s="5"/>
      <c r="H8" s="5"/>
      <c r="I8" s="66"/>
      <c r="J8" s="5"/>
      <c r="K8" s="5"/>
    </row>
    <row r="9" spans="1:21">
      <c r="B9" s="300" t="s">
        <v>1181</v>
      </c>
      <c r="D9" s="5"/>
      <c r="E9" s="5"/>
      <c r="F9" s="5"/>
      <c r="G9" s="5"/>
      <c r="H9" s="5"/>
      <c r="I9" s="66"/>
      <c r="J9" s="5"/>
      <c r="K9" s="5"/>
    </row>
    <row r="10" spans="1:21">
      <c r="B10" s="1429" t="s">
        <v>1236</v>
      </c>
      <c r="C10" s="1429"/>
      <c r="D10" s="1429"/>
      <c r="E10" s="303" t="s">
        <v>1233</v>
      </c>
      <c r="F10" s="1436"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437"/>
      <c r="H10" s="1437"/>
      <c r="I10" s="1437"/>
      <c r="J10" s="1437"/>
      <c r="K10" s="1437"/>
      <c r="L10" s="1437"/>
      <c r="M10" s="1437"/>
      <c r="N10" s="1437"/>
      <c r="O10" s="1437"/>
      <c r="P10" s="1437"/>
      <c r="Q10" s="1437"/>
      <c r="R10" s="1437"/>
      <c r="S10" s="1437"/>
      <c r="T10" s="5"/>
      <c r="U10" s="5"/>
    </row>
    <row r="11" spans="1:21" ht="14.4" customHeight="1">
      <c r="B11" s="302"/>
      <c r="C11" s="67"/>
      <c r="D11" s="144" t="str">
        <f>IF(E10="SI APLICA","¿El indicador no se reporta por limitaciones de información disponible? ","")</f>
        <v xml:space="preserve">¿El indicador no se reporta por limitaciones de información disponible? </v>
      </c>
      <c r="E11" s="304" t="s">
        <v>1235</v>
      </c>
      <c r="F11" s="1430"/>
      <c r="G11" s="1431"/>
      <c r="H11" s="1431"/>
      <c r="I11" s="1431"/>
      <c r="J11" s="1431"/>
      <c r="K11" s="1431"/>
      <c r="L11" s="1431"/>
      <c r="M11" s="1431"/>
      <c r="N11" s="1431"/>
      <c r="O11" s="1431"/>
      <c r="P11" s="1431"/>
      <c r="Q11" s="1431"/>
      <c r="R11" s="1431"/>
      <c r="S11" s="1431"/>
    </row>
    <row r="12" spans="1:21" ht="23.4" customHeight="1">
      <c r="B12" s="300"/>
      <c r="C12" s="67"/>
      <c r="D12" s="144" t="str">
        <f>IF(E11="SI SE REPORTA","¿Qué programas o proyectos del Plan de Acción están asociados al indicador? ","")</f>
        <v xml:space="preserve">¿Qué programas o proyectos del Plan de Acción están asociados al indicador? </v>
      </c>
      <c r="E12" s="1560" t="s">
        <v>1948</v>
      </c>
      <c r="F12" s="1560"/>
      <c r="G12" s="1560"/>
      <c r="H12" s="1560"/>
      <c r="I12" s="1560"/>
      <c r="J12" s="1560"/>
      <c r="K12" s="1560"/>
      <c r="L12" s="1560"/>
      <c r="M12" s="1560"/>
      <c r="N12" s="1560"/>
      <c r="O12" s="1560"/>
      <c r="P12" s="1560"/>
      <c r="Q12" s="1560"/>
      <c r="R12" s="1560"/>
    </row>
    <row r="13" spans="1:21" ht="21.9" customHeight="1">
      <c r="B13" s="300"/>
      <c r="C13" s="67"/>
      <c r="D13" s="144" t="s">
        <v>1238</v>
      </c>
      <c r="E13" s="1433"/>
      <c r="F13" s="1434"/>
      <c r="G13" s="1434"/>
      <c r="H13" s="1434"/>
      <c r="I13" s="1434"/>
      <c r="J13" s="1434"/>
      <c r="K13" s="1434"/>
      <c r="L13" s="1434"/>
      <c r="M13" s="1434"/>
      <c r="N13" s="1434"/>
      <c r="O13" s="1434"/>
      <c r="P13" s="1434"/>
      <c r="Q13" s="1434"/>
      <c r="R13" s="1435"/>
    </row>
    <row r="14" spans="1:21" ht="6.9" customHeight="1" thickBot="1">
      <c r="B14" s="300"/>
      <c r="D14" s="5"/>
      <c r="E14" s="5"/>
      <c r="F14" s="5"/>
      <c r="G14" s="5"/>
      <c r="H14" s="5"/>
      <c r="I14" s="66"/>
      <c r="J14" s="5"/>
      <c r="K14" s="5"/>
    </row>
    <row r="15" spans="1:21">
      <c r="B15" s="1459" t="s">
        <v>2</v>
      </c>
      <c r="C15" s="68"/>
      <c r="D15" s="1450" t="s">
        <v>3</v>
      </c>
      <c r="E15" s="1451"/>
      <c r="F15" s="1451"/>
      <c r="G15" s="1451"/>
      <c r="H15" s="1451"/>
      <c r="I15" s="1452"/>
      <c r="J15" s="5"/>
      <c r="K15" s="5"/>
    </row>
    <row r="16" spans="1:21">
      <c r="B16" s="1460"/>
      <c r="C16" s="71"/>
      <c r="D16" s="1667" t="s">
        <v>855</v>
      </c>
      <c r="E16" s="1668"/>
      <c r="F16" s="1668"/>
      <c r="G16" s="1668"/>
      <c r="H16" s="1668"/>
      <c r="I16" s="1669"/>
      <c r="J16" s="5"/>
      <c r="K16" s="5"/>
    </row>
    <row r="17" spans="2:11" ht="15" thickBot="1">
      <c r="B17" s="1460"/>
      <c r="C17" s="71"/>
      <c r="D17" s="1472"/>
      <c r="E17" s="1473"/>
      <c r="F17" s="1473"/>
      <c r="G17" s="1473"/>
      <c r="H17" s="1473"/>
      <c r="I17" s="1474"/>
      <c r="J17" s="5"/>
      <c r="K17" s="5"/>
    </row>
    <row r="18" spans="2:11" ht="15" thickBot="1">
      <c r="B18" s="1460"/>
      <c r="C18" s="73"/>
      <c r="D18" s="34" t="s">
        <v>149</v>
      </c>
      <c r="E18" s="30" t="s">
        <v>19</v>
      </c>
      <c r="F18" s="30" t="s">
        <v>20</v>
      </c>
      <c r="G18" s="30" t="s">
        <v>21</v>
      </c>
      <c r="H18" s="30" t="s">
        <v>22</v>
      </c>
      <c r="I18" s="69" t="s">
        <v>150</v>
      </c>
      <c r="J18" s="5"/>
      <c r="K18" s="5"/>
    </row>
    <row r="19" spans="2:11" ht="36.6" thickBot="1">
      <c r="B19" s="1460"/>
      <c r="C19" s="73"/>
      <c r="D19" s="32" t="s">
        <v>856</v>
      </c>
      <c r="E19" s="512">
        <v>120</v>
      </c>
      <c r="F19" s="512">
        <v>327</v>
      </c>
      <c r="G19" s="512">
        <v>306</v>
      </c>
      <c r="H19" s="512">
        <v>575</v>
      </c>
      <c r="I19" s="523">
        <f>SUM(E19:H19)</f>
        <v>1328</v>
      </c>
      <c r="J19" s="5"/>
      <c r="K19" s="5"/>
    </row>
    <row r="20" spans="2:11" ht="24.6" thickBot="1">
      <c r="B20" s="1460"/>
      <c r="C20" s="73"/>
      <c r="D20" s="32" t="s">
        <v>857</v>
      </c>
      <c r="E20" s="512">
        <v>1</v>
      </c>
      <c r="F20" s="512">
        <v>3</v>
      </c>
      <c r="G20" s="512">
        <v>3</v>
      </c>
      <c r="H20" s="512">
        <v>5</v>
      </c>
      <c r="I20" s="523">
        <f>SUM(E20:H20)</f>
        <v>12</v>
      </c>
      <c r="J20" s="5"/>
      <c r="K20" s="5"/>
    </row>
    <row r="21" spans="2:11" ht="24.6" thickBot="1">
      <c r="B21" s="1460"/>
      <c r="C21" s="73"/>
      <c r="D21" s="32" t="s">
        <v>858</v>
      </c>
      <c r="E21" s="545">
        <f>+E19/E20</f>
        <v>120</v>
      </c>
      <c r="F21" s="545">
        <f>+F19/F20</f>
        <v>109</v>
      </c>
      <c r="G21" s="545">
        <f>+G19/G20</f>
        <v>102</v>
      </c>
      <c r="H21" s="545">
        <f>+H19/H20</f>
        <v>115</v>
      </c>
      <c r="I21" s="545">
        <f>+I19/I20</f>
        <v>110.66666666666667</v>
      </c>
      <c r="J21" s="5"/>
      <c r="K21" s="5"/>
    </row>
    <row r="22" spans="2:11">
      <c r="B22" s="1460"/>
      <c r="C22" s="71"/>
      <c r="D22" s="1450"/>
      <c r="E22" s="1451"/>
      <c r="F22" s="1451"/>
      <c r="G22" s="1451"/>
      <c r="H22" s="1451"/>
      <c r="I22" s="1452"/>
      <c r="J22" s="5"/>
      <c r="K22" s="5"/>
    </row>
    <row r="23" spans="2:11">
      <c r="B23" s="1460"/>
      <c r="C23" s="71"/>
      <c r="D23" s="1667" t="s">
        <v>859</v>
      </c>
      <c r="E23" s="1668"/>
      <c r="F23" s="1668"/>
      <c r="G23" s="1668"/>
      <c r="H23" s="1668"/>
      <c r="I23" s="1669"/>
      <c r="J23" s="5"/>
      <c r="K23" s="5"/>
    </row>
    <row r="24" spans="2:11" ht="15" thickBot="1">
      <c r="B24" s="1460"/>
      <c r="C24" s="71"/>
      <c r="D24" s="1444"/>
      <c r="E24" s="1445"/>
      <c r="F24" s="1445"/>
      <c r="G24" s="1445"/>
      <c r="H24" s="1445"/>
      <c r="I24" s="1446"/>
      <c r="J24" s="5"/>
      <c r="K24" s="5"/>
    </row>
    <row r="25" spans="2:11" ht="15" thickBot="1">
      <c r="B25" s="1460"/>
      <c r="C25" s="73"/>
      <c r="D25" s="34" t="s">
        <v>149</v>
      </c>
      <c r="E25" s="30" t="s">
        <v>19</v>
      </c>
      <c r="F25" s="30" t="s">
        <v>20</v>
      </c>
      <c r="G25" s="30" t="s">
        <v>21</v>
      </c>
      <c r="H25" s="30" t="s">
        <v>22</v>
      </c>
      <c r="I25" s="69" t="s">
        <v>150</v>
      </c>
      <c r="J25" s="5"/>
      <c r="K25" s="5"/>
    </row>
    <row r="26" spans="2:11" ht="15" thickBot="1">
      <c r="B26" s="1460"/>
      <c r="C26" s="73"/>
      <c r="D26" s="32">
        <v>2</v>
      </c>
      <c r="E26" s="512">
        <f>60*E27</f>
        <v>3060</v>
      </c>
      <c r="F26" s="512">
        <v>1040</v>
      </c>
      <c r="G26" s="512">
        <v>499</v>
      </c>
      <c r="H26" s="512">
        <v>4698</v>
      </c>
      <c r="I26" s="523">
        <f>SUM(E26:H26)</f>
        <v>9297</v>
      </c>
      <c r="J26" s="5"/>
      <c r="K26" s="5"/>
    </row>
    <row r="27" spans="2:11" ht="24.6" thickBot="1">
      <c r="B27" s="1460"/>
      <c r="C27" s="73"/>
      <c r="D27" s="32" t="s">
        <v>860</v>
      </c>
      <c r="E27" s="512">
        <v>51</v>
      </c>
      <c r="F27" s="512">
        <v>10</v>
      </c>
      <c r="G27" s="512">
        <v>5</v>
      </c>
      <c r="H27" s="512">
        <v>58</v>
      </c>
      <c r="I27" s="523">
        <f>SUM(E27:H27)</f>
        <v>124</v>
      </c>
      <c r="J27" s="5"/>
      <c r="K27" s="5"/>
    </row>
    <row r="28" spans="2:11" ht="24.6" thickBot="1">
      <c r="B28" s="1460"/>
      <c r="C28" s="73"/>
      <c r="D28" s="32" t="s">
        <v>861</v>
      </c>
      <c r="E28" s="545">
        <f>+E26/E27</f>
        <v>60</v>
      </c>
      <c r="F28" s="545">
        <f>+F26/F27</f>
        <v>104</v>
      </c>
      <c r="G28" s="545">
        <f>+G26/G27</f>
        <v>99.8</v>
      </c>
      <c r="H28" s="545">
        <f>+H26/H27</f>
        <v>81</v>
      </c>
      <c r="I28" s="545">
        <f>+I26/I27</f>
        <v>74.975806451612897</v>
      </c>
      <c r="J28" s="5"/>
      <c r="K28" s="5"/>
    </row>
    <row r="29" spans="2:11">
      <c r="B29" s="1460"/>
      <c r="C29" s="71"/>
      <c r="D29" s="1450"/>
      <c r="E29" s="1451"/>
      <c r="F29" s="1451"/>
      <c r="G29" s="1451"/>
      <c r="H29" s="1451"/>
      <c r="I29" s="1452"/>
      <c r="J29" s="5"/>
      <c r="K29" s="5"/>
    </row>
    <row r="30" spans="2:11">
      <c r="B30" s="1460"/>
      <c r="C30" s="71"/>
      <c r="D30" s="1667" t="s">
        <v>862</v>
      </c>
      <c r="E30" s="1668"/>
      <c r="F30" s="1668"/>
      <c r="G30" s="1668"/>
      <c r="H30" s="1668"/>
      <c r="I30" s="1669"/>
      <c r="J30" s="5"/>
      <c r="K30" s="5"/>
    </row>
    <row r="31" spans="2:11" ht="15" thickBot="1">
      <c r="B31" s="1460"/>
      <c r="C31" s="71"/>
      <c r="D31" s="1472"/>
      <c r="E31" s="1473"/>
      <c r="F31" s="1473"/>
      <c r="G31" s="1473"/>
      <c r="H31" s="1473"/>
      <c r="I31" s="1474"/>
      <c r="J31" s="5"/>
      <c r="K31" s="5"/>
    </row>
    <row r="32" spans="2:11" ht="15" thickBot="1">
      <c r="B32" s="1460"/>
      <c r="C32" s="73"/>
      <c r="D32" s="34" t="s">
        <v>149</v>
      </c>
      <c r="E32" s="30" t="s">
        <v>19</v>
      </c>
      <c r="F32" s="30" t="s">
        <v>20</v>
      </c>
      <c r="G32" s="30" t="s">
        <v>21</v>
      </c>
      <c r="H32" s="30" t="s">
        <v>22</v>
      </c>
      <c r="I32" s="69" t="s">
        <v>150</v>
      </c>
      <c r="J32" s="5"/>
      <c r="K32" s="5"/>
    </row>
    <row r="33" spans="2:11" ht="36.6" thickBot="1">
      <c r="B33" s="1460"/>
      <c r="C33" s="73"/>
      <c r="D33" s="32" t="s">
        <v>863</v>
      </c>
      <c r="E33" s="512">
        <f>68*E34</f>
        <v>2040</v>
      </c>
      <c r="F33" s="512">
        <v>666</v>
      </c>
      <c r="G33" s="512">
        <v>759</v>
      </c>
      <c r="H33" s="512">
        <v>2392</v>
      </c>
      <c r="I33" s="523">
        <f>SUM(E33:H33)</f>
        <v>5857</v>
      </c>
      <c r="J33" s="5"/>
      <c r="K33" s="5"/>
    </row>
    <row r="34" spans="2:11" ht="24.6" thickBot="1">
      <c r="B34" s="1460"/>
      <c r="C34" s="73"/>
      <c r="D34" s="32" t="s">
        <v>864</v>
      </c>
      <c r="E34" s="512">
        <v>30</v>
      </c>
      <c r="F34" s="512">
        <v>6</v>
      </c>
      <c r="G34" s="512">
        <v>7</v>
      </c>
      <c r="H34" s="512">
        <v>23</v>
      </c>
      <c r="I34" s="523">
        <f>SUM(E34:H34)</f>
        <v>66</v>
      </c>
      <c r="J34" s="5"/>
      <c r="K34" s="5"/>
    </row>
    <row r="35" spans="2:11" ht="36.6" thickBot="1">
      <c r="B35" s="1460"/>
      <c r="C35" s="73"/>
      <c r="D35" s="32" t="s">
        <v>865</v>
      </c>
      <c r="E35" s="545">
        <f>+E33/E34</f>
        <v>68</v>
      </c>
      <c r="F35" s="545">
        <f>+F33/F34</f>
        <v>111</v>
      </c>
      <c r="G35" s="545">
        <f>+G33/G34</f>
        <v>108.42857142857143</v>
      </c>
      <c r="H35" s="545">
        <f>+H33/H34</f>
        <v>104</v>
      </c>
      <c r="I35" s="545">
        <f>+I33/I34</f>
        <v>88.742424242424249</v>
      </c>
      <c r="J35" s="5"/>
      <c r="K35" s="5"/>
    </row>
    <row r="36" spans="2:11">
      <c r="B36" s="1460"/>
      <c r="C36" s="71"/>
      <c r="D36" s="1450"/>
      <c r="E36" s="1451"/>
      <c r="F36" s="1451"/>
      <c r="G36" s="1451"/>
      <c r="H36" s="1451"/>
      <c r="I36" s="1452"/>
      <c r="J36" s="5"/>
      <c r="K36" s="5"/>
    </row>
    <row r="37" spans="2:11">
      <c r="B37" s="1460"/>
      <c r="C37" s="71"/>
      <c r="D37" s="1667" t="s">
        <v>866</v>
      </c>
      <c r="E37" s="1668"/>
      <c r="F37" s="1668"/>
      <c r="G37" s="1668"/>
      <c r="H37" s="1668"/>
      <c r="I37" s="1669"/>
      <c r="J37" s="5"/>
      <c r="K37" s="5"/>
    </row>
    <row r="38" spans="2:11" ht="15" thickBot="1">
      <c r="B38" s="1460"/>
      <c r="C38" s="71"/>
      <c r="D38" s="1472"/>
      <c r="E38" s="1473"/>
      <c r="F38" s="1473"/>
      <c r="G38" s="1473"/>
      <c r="H38" s="1473"/>
      <c r="I38" s="1474"/>
      <c r="J38" s="5"/>
      <c r="K38" s="5"/>
    </row>
    <row r="39" spans="2:11" ht="15" thickBot="1">
      <c r="B39" s="1460"/>
      <c r="C39" s="73"/>
      <c r="D39" s="34" t="s">
        <v>149</v>
      </c>
      <c r="E39" s="30" t="s">
        <v>19</v>
      </c>
      <c r="F39" s="30" t="s">
        <v>20</v>
      </c>
      <c r="G39" s="30" t="s">
        <v>21</v>
      </c>
      <c r="H39" s="30" t="s">
        <v>22</v>
      </c>
      <c r="I39" s="69" t="s">
        <v>150</v>
      </c>
      <c r="J39" s="5"/>
      <c r="K39" s="5"/>
    </row>
    <row r="40" spans="2:11" ht="36.6" thickBot="1">
      <c r="B40" s="1460"/>
      <c r="C40" s="73"/>
      <c r="D40" s="32" t="s">
        <v>2039</v>
      </c>
      <c r="E40" s="512">
        <f>60*E41</f>
        <v>2520</v>
      </c>
      <c r="F40" s="512">
        <v>1428</v>
      </c>
      <c r="G40" s="512">
        <v>666</v>
      </c>
      <c r="H40" s="512">
        <v>1254</v>
      </c>
      <c r="I40" s="523">
        <f>SUM(E40:H40)</f>
        <v>5868</v>
      </c>
      <c r="J40" s="5"/>
      <c r="K40" s="5"/>
    </row>
    <row r="41" spans="2:11" ht="36.6" thickBot="1">
      <c r="B41" s="1460"/>
      <c r="C41" s="73"/>
      <c r="D41" s="32" t="s">
        <v>867</v>
      </c>
      <c r="E41" s="512">
        <v>42</v>
      </c>
      <c r="F41" s="512">
        <v>17</v>
      </c>
      <c r="G41" s="512">
        <v>7</v>
      </c>
      <c r="H41" s="512">
        <v>19</v>
      </c>
      <c r="I41" s="523">
        <f>SUM(E41:H41)</f>
        <v>85</v>
      </c>
      <c r="J41" s="5"/>
      <c r="K41" s="5"/>
    </row>
    <row r="42" spans="2:11" ht="36.6" thickBot="1">
      <c r="B42" s="1460"/>
      <c r="C42" s="73"/>
      <c r="D42" s="32" t="s">
        <v>868</v>
      </c>
      <c r="E42" s="545">
        <f>+E40/E41</f>
        <v>60</v>
      </c>
      <c r="F42" s="545">
        <f>+F40/F41</f>
        <v>84</v>
      </c>
      <c r="G42" s="545">
        <f>+G40/G41</f>
        <v>95.142857142857139</v>
      </c>
      <c r="H42" s="545">
        <f>+H40/H41</f>
        <v>66</v>
      </c>
      <c r="I42" s="545">
        <f>+I40/I41</f>
        <v>69.035294117647055</v>
      </c>
      <c r="J42" s="5"/>
      <c r="K42" s="5"/>
    </row>
    <row r="43" spans="2:11">
      <c r="B43" s="1460"/>
      <c r="C43" s="71"/>
      <c r="D43" s="1450"/>
      <c r="E43" s="1451"/>
      <c r="F43" s="1451"/>
      <c r="G43" s="1451"/>
      <c r="H43" s="1451"/>
      <c r="I43" s="1452"/>
      <c r="J43" s="5"/>
      <c r="K43" s="5"/>
    </row>
    <row r="44" spans="2:11">
      <c r="B44" s="1460"/>
      <c r="C44" s="71"/>
      <c r="D44" s="1667" t="s">
        <v>869</v>
      </c>
      <c r="E44" s="1668"/>
      <c r="F44" s="1668"/>
      <c r="G44" s="1668"/>
      <c r="H44" s="1668"/>
      <c r="I44" s="1669"/>
      <c r="J44" s="5"/>
      <c r="K44" s="5"/>
    </row>
    <row r="45" spans="2:11" ht="15" thickBot="1">
      <c r="B45" s="1460"/>
      <c r="C45" s="71"/>
      <c r="D45" s="1472"/>
      <c r="E45" s="1473"/>
      <c r="F45" s="1473"/>
      <c r="G45" s="1473"/>
      <c r="H45" s="1473"/>
      <c r="I45" s="1474"/>
      <c r="J45" s="5"/>
      <c r="K45" s="5"/>
    </row>
    <row r="46" spans="2:11" ht="15" thickBot="1">
      <c r="B46" s="1460"/>
      <c r="C46" s="73"/>
      <c r="D46" s="34" t="s">
        <v>149</v>
      </c>
      <c r="E46" s="30" t="s">
        <v>19</v>
      </c>
      <c r="F46" s="30" t="s">
        <v>20</v>
      </c>
      <c r="G46" s="30" t="s">
        <v>21</v>
      </c>
      <c r="H46" s="30" t="s">
        <v>22</v>
      </c>
      <c r="I46" s="69" t="s">
        <v>150</v>
      </c>
      <c r="J46" s="5"/>
      <c r="K46" s="5"/>
    </row>
    <row r="47" spans="2:11" ht="36.6" thickBot="1">
      <c r="B47" s="1460"/>
      <c r="C47" s="73"/>
      <c r="D47" s="32" t="s">
        <v>870</v>
      </c>
      <c r="E47" s="512">
        <f>70*E48</f>
        <v>910</v>
      </c>
      <c r="F47" s="512">
        <v>224</v>
      </c>
      <c r="G47" s="512">
        <v>313</v>
      </c>
      <c r="H47" s="512">
        <v>56</v>
      </c>
      <c r="I47" s="523">
        <f>SUM(E47:H47)</f>
        <v>1503</v>
      </c>
      <c r="J47" s="5"/>
      <c r="K47" s="5"/>
    </row>
    <row r="48" spans="2:11" ht="24.6" thickBot="1">
      <c r="B48" s="1460"/>
      <c r="C48" s="73"/>
      <c r="D48" s="32" t="s">
        <v>871</v>
      </c>
      <c r="E48" s="512">
        <v>13</v>
      </c>
      <c r="F48" s="512">
        <v>2</v>
      </c>
      <c r="G48" s="512">
        <v>3</v>
      </c>
      <c r="H48" s="512">
        <v>13</v>
      </c>
      <c r="I48" s="523">
        <f>SUM(E48:H48)</f>
        <v>31</v>
      </c>
      <c r="J48" s="5"/>
      <c r="K48" s="5"/>
    </row>
    <row r="49" spans="2:11" ht="36.6" thickBot="1">
      <c r="B49" s="1461"/>
      <c r="C49" s="2"/>
      <c r="D49" s="32" t="s">
        <v>872</v>
      </c>
      <c r="E49" s="545">
        <f>+E47/E48</f>
        <v>70</v>
      </c>
      <c r="F49" s="545">
        <f>+F47/F48</f>
        <v>112</v>
      </c>
      <c r="G49" s="545">
        <f>+G47/G48</f>
        <v>104.33333333333333</v>
      </c>
      <c r="H49" s="545">
        <f>+H47/H48</f>
        <v>4.3076923076923075</v>
      </c>
      <c r="I49" s="545">
        <f>+I47/I48</f>
        <v>48.483870967741936</v>
      </c>
      <c r="J49" s="5"/>
      <c r="K49" s="5"/>
    </row>
    <row r="50" spans="2:11" ht="15" thickBot="1">
      <c r="C50"/>
      <c r="E50" s="316"/>
      <c r="F50" s="316"/>
      <c r="G50" s="316"/>
      <c r="H50" s="316"/>
      <c r="I50" s="316"/>
    </row>
    <row r="51" spans="2:11" ht="24.6" thickBot="1">
      <c r="C51"/>
      <c r="D51" s="42" t="s">
        <v>1225</v>
      </c>
      <c r="E51" s="42" t="s">
        <v>1228</v>
      </c>
      <c r="F51" s="42" t="s">
        <v>1229</v>
      </c>
      <c r="G51" s="264" t="s">
        <v>1230</v>
      </c>
      <c r="I51"/>
    </row>
    <row r="52" spans="2:11" ht="15" thickBot="1">
      <c r="C52"/>
      <c r="D52" s="42" t="str">
        <f>+D16</f>
        <v>Licencias ambientales</v>
      </c>
      <c r="E52" s="545">
        <f>+E21</f>
        <v>120</v>
      </c>
      <c r="F52" s="546">
        <f>+H21</f>
        <v>115</v>
      </c>
      <c r="G52" s="490">
        <f>IF(F52/E52&gt;1,1,F52/E52)</f>
        <v>0.95833333333333337</v>
      </c>
      <c r="I52"/>
    </row>
    <row r="53" spans="2:11" ht="15" thickBot="1">
      <c r="C53"/>
      <c r="D53" s="42" t="str">
        <f>+D23</f>
        <v>Concesiones de agua</v>
      </c>
      <c r="E53" s="545">
        <f>+E28</f>
        <v>60</v>
      </c>
      <c r="F53" s="546">
        <f>+H28</f>
        <v>81</v>
      </c>
      <c r="G53" s="490">
        <f>IF(F53/E53&gt;1,1,F53/E53)</f>
        <v>1</v>
      </c>
      <c r="I53"/>
    </row>
    <row r="54" spans="2:11" ht="15" thickBot="1">
      <c r="C54"/>
      <c r="D54" s="42" t="str">
        <f>+D30</f>
        <v>Permisos de vertimiento de agua</v>
      </c>
      <c r="E54" s="545">
        <f>+E35</f>
        <v>68</v>
      </c>
      <c r="F54" s="546">
        <f>+H35</f>
        <v>104</v>
      </c>
      <c r="G54" s="490">
        <f>IF(F54/E54&gt;1,1,F54/E54)</f>
        <v>1</v>
      </c>
      <c r="I54"/>
    </row>
    <row r="55" spans="2:11" ht="15" thickBot="1">
      <c r="C55"/>
      <c r="D55" s="42" t="str">
        <f>+D37</f>
        <v>Permisos de aprovechamiento forestal</v>
      </c>
      <c r="E55" s="545">
        <f>+E42</f>
        <v>60</v>
      </c>
      <c r="F55" s="546">
        <f>+H42</f>
        <v>66</v>
      </c>
      <c r="G55" s="490">
        <f>IF(F55/E55&gt;1,1,F55/E55)</f>
        <v>1</v>
      </c>
      <c r="I55"/>
    </row>
    <row r="56" spans="2:11" ht="15" thickBot="1">
      <c r="C56"/>
      <c r="D56" s="42" t="str">
        <f>+D44</f>
        <v>Permisos de emisiones atmosféricas</v>
      </c>
      <c r="E56" s="545">
        <f>+E49</f>
        <v>70</v>
      </c>
      <c r="F56" s="546">
        <f>+H49</f>
        <v>4.3076923076923075</v>
      </c>
      <c r="G56" s="490">
        <f>IF(F56/E56&gt;1,1,F56/E56)</f>
        <v>6.1538461538461535E-2</v>
      </c>
      <c r="I56"/>
    </row>
    <row r="57" spans="2:11" ht="24.6" thickBot="1">
      <c r="C57"/>
      <c r="D57" s="42" t="s">
        <v>1224</v>
      </c>
      <c r="E57" s="545">
        <f>AVERAGE(E52:E56)</f>
        <v>75.599999999999994</v>
      </c>
      <c r="F57" s="545">
        <f>AVERAGE(F52:F56)</f>
        <v>74.061538461538461</v>
      </c>
      <c r="G57" s="490">
        <f>AVERAGE(G52:G56)</f>
        <v>0.80397435897435909</v>
      </c>
      <c r="I57"/>
    </row>
    <row r="58" spans="2:11">
      <c r="C58"/>
      <c r="I58"/>
    </row>
    <row r="59" spans="2:11" ht="15" thickBot="1">
      <c r="C59"/>
      <c r="I59"/>
    </row>
    <row r="60" spans="2:11" ht="60" customHeight="1" thickBot="1">
      <c r="B60" s="42" t="s">
        <v>33</v>
      </c>
      <c r="C60" s="159"/>
      <c r="D60" s="1462" t="s">
        <v>873</v>
      </c>
      <c r="E60" s="1463"/>
      <c r="F60" s="1463"/>
      <c r="G60" s="1463"/>
      <c r="H60" s="1463"/>
      <c r="I60" s="1464"/>
      <c r="J60" s="5"/>
      <c r="K60" s="5"/>
    </row>
    <row r="61" spans="2:11" ht="36" customHeight="1" thickBot="1">
      <c r="B61" s="37" t="s">
        <v>35</v>
      </c>
      <c r="C61" s="72"/>
      <c r="D61" s="1462" t="s">
        <v>158</v>
      </c>
      <c r="E61" s="1463"/>
      <c r="F61" s="1463"/>
      <c r="G61" s="1463"/>
      <c r="H61" s="1463"/>
      <c r="I61" s="1464"/>
      <c r="J61" s="5"/>
      <c r="K61" s="5"/>
    </row>
    <row r="62" spans="2:11" ht="15" thickBot="1">
      <c r="B62" s="1"/>
      <c r="C62" s="64"/>
      <c r="D62" s="5"/>
      <c r="E62" s="5"/>
      <c r="F62" s="5"/>
      <c r="G62" s="5"/>
      <c r="H62" s="5"/>
      <c r="I62" s="66"/>
      <c r="J62" s="5"/>
      <c r="K62" s="5"/>
    </row>
    <row r="63" spans="2:11" ht="24" customHeight="1" thickBot="1">
      <c r="B63" s="1469" t="s">
        <v>37</v>
      </c>
      <c r="C63" s="1470"/>
      <c r="D63" s="1470"/>
      <c r="E63" s="1471"/>
      <c r="F63" s="5"/>
      <c r="G63" s="5"/>
      <c r="H63" s="5"/>
      <c r="I63" s="66"/>
      <c r="J63" s="5"/>
      <c r="K63" s="5"/>
    </row>
    <row r="64" spans="2:11" ht="27.75" customHeight="1" thickBot="1">
      <c r="B64" s="1459">
        <v>1</v>
      </c>
      <c r="C64" s="73"/>
      <c r="D64" s="38" t="s">
        <v>38</v>
      </c>
      <c r="E64" s="898" t="s">
        <v>1814</v>
      </c>
      <c r="F64" s="5"/>
      <c r="G64" s="5"/>
      <c r="H64" s="5"/>
      <c r="I64" s="66"/>
      <c r="J64" s="5"/>
      <c r="K64" s="5"/>
    </row>
    <row r="65" spans="2:11" ht="15" thickBot="1">
      <c r="B65" s="1460"/>
      <c r="C65" s="73"/>
      <c r="D65" s="32" t="s">
        <v>39</v>
      </c>
      <c r="E65" s="212" t="s">
        <v>1885</v>
      </c>
      <c r="F65" s="5"/>
      <c r="G65" s="5"/>
      <c r="H65" s="5"/>
      <c r="I65" s="66"/>
      <c r="J65" s="5"/>
      <c r="K65" s="5"/>
    </row>
    <row r="66" spans="2:11" ht="15" thickBot="1">
      <c r="B66" s="1460"/>
      <c r="C66" s="73"/>
      <c r="D66" s="32" t="s">
        <v>40</v>
      </c>
      <c r="E66" s="212" t="s">
        <v>2037</v>
      </c>
      <c r="F66" s="5"/>
      <c r="G66" s="5"/>
      <c r="H66" s="5"/>
      <c r="I66" s="66"/>
      <c r="J66" s="5"/>
      <c r="K66" s="5"/>
    </row>
    <row r="67" spans="2:11" ht="15" thickBot="1">
      <c r="B67" s="1460"/>
      <c r="C67" s="73"/>
      <c r="D67" s="32" t="s">
        <v>41</v>
      </c>
      <c r="E67" s="212" t="s">
        <v>2050</v>
      </c>
      <c r="F67" s="5"/>
      <c r="G67" s="5"/>
      <c r="H67" s="5"/>
      <c r="I67" s="66"/>
      <c r="J67" s="5"/>
      <c r="K67" s="5"/>
    </row>
    <row r="68" spans="2:11" ht="29.4" thickBot="1">
      <c r="B68" s="1460"/>
      <c r="C68" s="73"/>
      <c r="D68" s="32" t="s">
        <v>42</v>
      </c>
      <c r="E68" s="899" t="s">
        <v>2038</v>
      </c>
      <c r="F68" s="5"/>
      <c r="G68" s="5"/>
      <c r="H68" s="5"/>
      <c r="I68" s="66"/>
      <c r="J68" s="5"/>
      <c r="K68" s="5"/>
    </row>
    <row r="69" spans="2:11" ht="15" thickBot="1">
      <c r="B69" s="1460"/>
      <c r="C69" s="73"/>
      <c r="D69" s="32" t="s">
        <v>43</v>
      </c>
      <c r="E69" s="212" t="s">
        <v>2040</v>
      </c>
      <c r="F69" s="5"/>
      <c r="G69" s="5"/>
      <c r="H69" s="5"/>
      <c r="I69" s="66"/>
      <c r="J69" s="5"/>
      <c r="K69" s="5"/>
    </row>
    <row r="70" spans="2:11" ht="15" thickBot="1">
      <c r="B70" s="1461"/>
      <c r="C70" s="2"/>
      <c r="D70" s="32" t="s">
        <v>44</v>
      </c>
      <c r="E70" s="569" t="s">
        <v>1817</v>
      </c>
      <c r="F70" s="5"/>
      <c r="G70" s="5"/>
      <c r="H70" s="5"/>
      <c r="I70" s="66"/>
      <c r="J70" s="5"/>
      <c r="K70" s="5"/>
    </row>
    <row r="71" spans="2:11" ht="15" thickBot="1">
      <c r="B71" s="1"/>
      <c r="C71" s="64"/>
      <c r="D71" s="5"/>
      <c r="E71" s="5"/>
      <c r="F71" s="5"/>
      <c r="G71" s="5"/>
      <c r="H71" s="5"/>
      <c r="I71" s="66"/>
      <c r="J71" s="5"/>
      <c r="K71" s="5"/>
    </row>
    <row r="72" spans="2:11" ht="15" thickBot="1">
      <c r="B72" s="1469" t="s">
        <v>45</v>
      </c>
      <c r="C72" s="1470"/>
      <c r="D72" s="1470"/>
      <c r="E72" s="1471"/>
      <c r="F72" s="5"/>
      <c r="G72" s="5"/>
      <c r="H72" s="5"/>
      <c r="I72" s="66"/>
      <c r="J72" s="5"/>
      <c r="K72" s="5"/>
    </row>
    <row r="73" spans="2:11" ht="36" customHeight="1" thickBot="1">
      <c r="B73" s="1459">
        <v>1</v>
      </c>
      <c r="C73" s="73"/>
      <c r="D73" s="38" t="s">
        <v>38</v>
      </c>
      <c r="E73" s="42" t="s">
        <v>46</v>
      </c>
      <c r="F73" s="5"/>
      <c r="G73" s="5"/>
      <c r="H73" s="5"/>
      <c r="I73" s="66"/>
      <c r="J73" s="5"/>
      <c r="K73" s="5"/>
    </row>
    <row r="74" spans="2:11" ht="36.6" thickBot="1">
      <c r="B74" s="1460"/>
      <c r="C74" s="73"/>
      <c r="D74" s="32" t="s">
        <v>39</v>
      </c>
      <c r="E74" s="42" t="s">
        <v>159</v>
      </c>
      <c r="F74" s="5"/>
      <c r="G74" s="5"/>
      <c r="H74" s="5"/>
      <c r="I74" s="66"/>
      <c r="J74" s="5"/>
      <c r="K74" s="5"/>
    </row>
    <row r="75" spans="2:11" ht="15" thickBot="1">
      <c r="B75" s="1460"/>
      <c r="C75" s="73"/>
      <c r="D75" s="32" t="s">
        <v>40</v>
      </c>
      <c r="E75" s="142"/>
      <c r="F75" s="5"/>
      <c r="G75" s="5"/>
      <c r="H75" s="5"/>
      <c r="I75" s="66"/>
      <c r="J75" s="5"/>
      <c r="K75" s="5"/>
    </row>
    <row r="76" spans="2:11" ht="15" thickBot="1">
      <c r="B76" s="1460"/>
      <c r="C76" s="73"/>
      <c r="D76" s="32" t="s">
        <v>41</v>
      </c>
      <c r="E76" s="142"/>
      <c r="F76" s="5"/>
      <c r="G76" s="5"/>
      <c r="H76" s="5"/>
      <c r="I76" s="66"/>
      <c r="J76" s="5"/>
      <c r="K76" s="5"/>
    </row>
    <row r="77" spans="2:11" ht="15" thickBot="1">
      <c r="B77" s="1460"/>
      <c r="C77" s="73"/>
      <c r="D77" s="32" t="s">
        <v>42</v>
      </c>
      <c r="E77" s="142"/>
      <c r="F77" s="5"/>
      <c r="G77" s="5"/>
      <c r="H77" s="5"/>
      <c r="I77" s="66"/>
      <c r="J77" s="5"/>
      <c r="K77" s="5"/>
    </row>
    <row r="78" spans="2:11" ht="15" thickBot="1">
      <c r="B78" s="1460"/>
      <c r="C78" s="73"/>
      <c r="D78" s="32" t="s">
        <v>43</v>
      </c>
      <c r="E78" s="142"/>
      <c r="F78" s="5"/>
      <c r="G78" s="5"/>
      <c r="H78" s="5"/>
      <c r="I78" s="66"/>
      <c r="J78" s="5"/>
      <c r="K78" s="5"/>
    </row>
    <row r="79" spans="2:11" ht="15" thickBot="1">
      <c r="B79" s="1461"/>
      <c r="C79" s="2"/>
      <c r="D79" s="32" t="s">
        <v>44</v>
      </c>
      <c r="E79" s="142"/>
      <c r="F79" s="5"/>
      <c r="G79" s="5"/>
      <c r="H79" s="5"/>
      <c r="I79" s="66"/>
      <c r="J79" s="5"/>
      <c r="K79" s="5"/>
    </row>
    <row r="80" spans="2:11" ht="15" thickBot="1">
      <c r="B80" s="1"/>
      <c r="C80" s="64"/>
      <c r="D80" s="5"/>
      <c r="E80" s="5"/>
      <c r="F80" s="5"/>
      <c r="G80" s="5"/>
      <c r="H80" s="5"/>
      <c r="I80" s="66"/>
      <c r="J80" s="5"/>
      <c r="K80" s="5"/>
    </row>
    <row r="81" spans="2:11" ht="15" customHeight="1" thickBot="1">
      <c r="B81" s="97" t="s">
        <v>48</v>
      </c>
      <c r="C81" s="98"/>
      <c r="D81" s="98"/>
      <c r="E81" s="99"/>
      <c r="G81" s="5"/>
      <c r="H81" s="5"/>
      <c r="I81" s="66"/>
      <c r="J81" s="5"/>
      <c r="K81" s="5"/>
    </row>
    <row r="82" spans="2:11" ht="24.6" thickBot="1">
      <c r="B82" s="37" t="s">
        <v>49</v>
      </c>
      <c r="C82" s="32" t="s">
        <v>50</v>
      </c>
      <c r="D82" s="32" t="s">
        <v>51</v>
      </c>
      <c r="E82" s="32" t="s">
        <v>52</v>
      </c>
      <c r="F82" s="5"/>
      <c r="G82" s="5"/>
      <c r="H82" s="5"/>
      <c r="I82" s="66"/>
      <c r="J82" s="5"/>
    </row>
    <row r="83" spans="2:11" ht="72.599999999999994" thickBot="1">
      <c r="B83" s="39">
        <v>42401</v>
      </c>
      <c r="C83" s="32">
        <v>0.01</v>
      </c>
      <c r="D83" s="40" t="s">
        <v>874</v>
      </c>
      <c r="E83" s="32"/>
      <c r="F83" s="5"/>
      <c r="G83" s="5"/>
      <c r="H83" s="5"/>
      <c r="I83" s="66"/>
      <c r="J83" s="5"/>
    </row>
    <row r="84" spans="2:11" ht="15" thickBot="1">
      <c r="B84" s="1"/>
      <c r="C84" s="64"/>
      <c r="D84" s="5"/>
      <c r="E84" s="5"/>
      <c r="F84" s="5"/>
      <c r="G84" s="5"/>
      <c r="H84" s="5"/>
      <c r="I84" s="66"/>
      <c r="J84" s="5"/>
      <c r="K84" s="5"/>
    </row>
    <row r="85" spans="2:11" ht="15" thickBot="1">
      <c r="B85" s="106" t="s">
        <v>54</v>
      </c>
      <c r="C85" s="75"/>
      <c r="D85" s="5"/>
      <c r="E85" s="5"/>
      <c r="F85" s="5"/>
      <c r="G85" s="5"/>
      <c r="H85" s="5"/>
      <c r="I85" s="66"/>
      <c r="J85" s="5"/>
      <c r="K85" s="5"/>
    </row>
    <row r="86" spans="2:11">
      <c r="B86" s="1717"/>
      <c r="C86" s="1718"/>
      <c r="D86" s="1719"/>
      <c r="E86" s="5"/>
      <c r="F86" s="5"/>
      <c r="G86" s="5"/>
      <c r="H86" s="5"/>
      <c r="I86" s="66"/>
      <c r="J86" s="5"/>
      <c r="K86" s="5"/>
    </row>
    <row r="87" spans="2:11" ht="15" thickBot="1">
      <c r="B87" s="1720"/>
      <c r="C87" s="1721"/>
      <c r="D87" s="1722"/>
      <c r="E87" s="5"/>
      <c r="F87" s="5"/>
      <c r="G87" s="5"/>
      <c r="H87" s="5"/>
      <c r="I87" s="66"/>
      <c r="J87" s="5"/>
      <c r="K87" s="5"/>
    </row>
    <row r="88" spans="2:11" ht="15" thickBot="1">
      <c r="B88" s="5"/>
      <c r="D88" s="5"/>
      <c r="E88" s="5"/>
      <c r="F88" s="5"/>
      <c r="G88" s="5"/>
      <c r="H88" s="5"/>
      <c r="I88" s="66"/>
      <c r="J88" s="5"/>
      <c r="K88" s="5"/>
    </row>
    <row r="89" spans="2:11" ht="24.6" thickBot="1">
      <c r="B89" s="41" t="s">
        <v>55</v>
      </c>
      <c r="C89" s="76"/>
      <c r="D89" s="5"/>
      <c r="E89" s="5"/>
      <c r="F89" s="5"/>
      <c r="G89" s="5"/>
      <c r="H89" s="5"/>
      <c r="I89" s="66"/>
      <c r="J89" s="5"/>
      <c r="K89" s="5"/>
    </row>
    <row r="90" spans="2:11" ht="15" thickBot="1">
      <c r="B90" s="1"/>
      <c r="C90" s="64"/>
      <c r="D90" s="5"/>
      <c r="E90" s="5"/>
      <c r="F90" s="5"/>
      <c r="G90" s="5"/>
      <c r="H90" s="5"/>
      <c r="I90" s="66"/>
      <c r="J90" s="5"/>
      <c r="K90" s="5"/>
    </row>
    <row r="91" spans="2:11" ht="108">
      <c r="B91" s="1459" t="s">
        <v>56</v>
      </c>
      <c r="C91" s="84"/>
      <c r="D91" s="53" t="s">
        <v>829</v>
      </c>
      <c r="E91" s="5"/>
      <c r="F91" s="5"/>
      <c r="G91" s="5"/>
      <c r="H91" s="5"/>
      <c r="I91" s="66"/>
      <c r="J91" s="5"/>
      <c r="K91" s="5"/>
    </row>
    <row r="92" spans="2:11" ht="96.6" thickBot="1">
      <c r="B92" s="1461"/>
      <c r="C92" s="2"/>
      <c r="D92" s="32" t="s">
        <v>830</v>
      </c>
      <c r="E92" s="5"/>
      <c r="F92" s="5"/>
      <c r="G92" s="5"/>
      <c r="H92" s="5"/>
      <c r="I92" s="66"/>
      <c r="J92" s="5"/>
      <c r="K92" s="5"/>
    </row>
    <row r="93" spans="2:11">
      <c r="B93" s="1459" t="s">
        <v>58</v>
      </c>
      <c r="C93" s="73"/>
      <c r="D93" s="43" t="s">
        <v>59</v>
      </c>
      <c r="E93" s="5"/>
      <c r="F93" s="5"/>
      <c r="G93" s="5"/>
      <c r="H93" s="5"/>
      <c r="I93" s="66"/>
      <c r="J93" s="5"/>
      <c r="K93" s="5"/>
    </row>
    <row r="94" spans="2:11" ht="84">
      <c r="B94" s="1460"/>
      <c r="C94" s="73"/>
      <c r="D94" s="36" t="s">
        <v>831</v>
      </c>
      <c r="E94" s="5"/>
      <c r="F94" s="5"/>
      <c r="G94" s="5"/>
      <c r="H94" s="5"/>
      <c r="I94" s="66"/>
      <c r="J94" s="5"/>
      <c r="K94" s="5"/>
    </row>
    <row r="95" spans="2:11">
      <c r="B95" s="1460"/>
      <c r="C95" s="73"/>
      <c r="D95" s="43" t="s">
        <v>133</v>
      </c>
      <c r="E95" s="5"/>
      <c r="F95" s="5"/>
      <c r="G95" s="5"/>
      <c r="H95" s="5"/>
      <c r="I95" s="66"/>
      <c r="J95" s="5"/>
      <c r="K95" s="5"/>
    </row>
    <row r="96" spans="2:11">
      <c r="B96" s="1460"/>
      <c r="C96" s="73"/>
      <c r="D96" s="36" t="s">
        <v>63</v>
      </c>
      <c r="E96" s="5"/>
      <c r="F96" s="5"/>
      <c r="G96" s="5"/>
      <c r="H96" s="5"/>
      <c r="I96" s="66"/>
      <c r="J96" s="5"/>
      <c r="K96" s="5"/>
    </row>
    <row r="97" spans="2:11">
      <c r="B97" s="1460"/>
      <c r="C97" s="73"/>
      <c r="D97" s="36" t="s">
        <v>64</v>
      </c>
      <c r="E97" s="5"/>
      <c r="F97" s="5"/>
      <c r="G97" s="5"/>
      <c r="H97" s="5"/>
      <c r="I97" s="66"/>
      <c r="J97" s="5"/>
      <c r="K97" s="5"/>
    </row>
    <row r="98" spans="2:11">
      <c r="B98" s="1460"/>
      <c r="C98" s="73"/>
      <c r="D98" s="36" t="s">
        <v>832</v>
      </c>
      <c r="E98" s="5"/>
      <c r="F98" s="5"/>
      <c r="G98" s="5"/>
      <c r="H98" s="5"/>
      <c r="I98" s="66"/>
      <c r="J98" s="5"/>
      <c r="K98" s="5"/>
    </row>
    <row r="99" spans="2:11">
      <c r="B99" s="1460"/>
      <c r="C99" s="73"/>
      <c r="D99" s="36" t="s">
        <v>833</v>
      </c>
      <c r="E99" s="5"/>
      <c r="F99" s="5"/>
      <c r="G99" s="5"/>
      <c r="H99" s="5"/>
      <c r="I99" s="66"/>
      <c r="J99" s="5"/>
      <c r="K99" s="5"/>
    </row>
    <row r="100" spans="2:11" ht="24">
      <c r="B100" s="1460"/>
      <c r="C100" s="73"/>
      <c r="D100" s="36" t="s">
        <v>834</v>
      </c>
      <c r="E100" s="5"/>
      <c r="F100" s="5"/>
      <c r="G100" s="5"/>
      <c r="H100" s="5"/>
      <c r="I100" s="66"/>
      <c r="J100" s="5"/>
      <c r="K100" s="5"/>
    </row>
    <row r="101" spans="2:11" ht="24">
      <c r="B101" s="1460"/>
      <c r="C101" s="73"/>
      <c r="D101" s="36" t="s">
        <v>835</v>
      </c>
      <c r="E101" s="5"/>
      <c r="F101" s="5"/>
      <c r="G101" s="5"/>
      <c r="H101" s="5"/>
      <c r="I101" s="66"/>
      <c r="J101" s="5"/>
      <c r="K101" s="5"/>
    </row>
    <row r="102" spans="2:11" ht="48">
      <c r="B102" s="1460"/>
      <c r="C102" s="73"/>
      <c r="D102" s="36" t="s">
        <v>836</v>
      </c>
      <c r="E102" s="5"/>
      <c r="F102" s="5"/>
      <c r="G102" s="5"/>
      <c r="H102" s="5"/>
      <c r="I102" s="66"/>
      <c r="J102" s="5"/>
      <c r="K102" s="5"/>
    </row>
    <row r="103" spans="2:11" ht="36.6" thickBot="1">
      <c r="B103" s="1461"/>
      <c r="C103" s="2"/>
      <c r="D103" s="32" t="s">
        <v>837</v>
      </c>
      <c r="E103" s="5"/>
      <c r="F103" s="5"/>
      <c r="G103" s="5"/>
      <c r="H103" s="5"/>
      <c r="I103" s="66"/>
      <c r="J103" s="5"/>
      <c r="K103" s="5"/>
    </row>
    <row r="104" spans="2:11" ht="24.6" thickBot="1">
      <c r="B104" s="37" t="s">
        <v>71</v>
      </c>
      <c r="C104" s="2"/>
      <c r="D104" s="32"/>
      <c r="E104" s="5"/>
      <c r="F104" s="5"/>
      <c r="G104" s="5"/>
      <c r="H104" s="5"/>
      <c r="I104" s="66"/>
      <c r="J104" s="5"/>
      <c r="K104" s="5"/>
    </row>
    <row r="105" spans="2:11" ht="216">
      <c r="B105" s="1459" t="s">
        <v>72</v>
      </c>
      <c r="C105" s="73"/>
      <c r="D105" s="36" t="s">
        <v>838</v>
      </c>
      <c r="E105" s="5"/>
      <c r="F105" s="5"/>
      <c r="G105" s="5"/>
      <c r="H105" s="5"/>
      <c r="I105" s="66"/>
      <c r="J105" s="5"/>
      <c r="K105" s="5"/>
    </row>
    <row r="106" spans="2:11" ht="60">
      <c r="B106" s="1460"/>
      <c r="C106" s="73"/>
      <c r="D106" s="36" t="s">
        <v>839</v>
      </c>
      <c r="E106" s="5"/>
      <c r="F106" s="5"/>
      <c r="G106" s="5"/>
      <c r="H106" s="5"/>
      <c r="I106" s="66"/>
      <c r="J106" s="5"/>
      <c r="K106" s="5"/>
    </row>
    <row r="107" spans="2:11" ht="60">
      <c r="B107" s="1460"/>
      <c r="C107" s="73"/>
      <c r="D107" s="36" t="s">
        <v>840</v>
      </c>
      <c r="E107" s="5"/>
      <c r="F107" s="5"/>
      <c r="G107" s="5"/>
      <c r="H107" s="5"/>
      <c r="I107" s="66"/>
      <c r="J107" s="5"/>
      <c r="K107" s="5"/>
    </row>
    <row r="108" spans="2:11" ht="120">
      <c r="B108" s="1460"/>
      <c r="C108" s="73"/>
      <c r="D108" s="36" t="s">
        <v>841</v>
      </c>
      <c r="E108" s="5"/>
      <c r="F108" s="5"/>
      <c r="G108" s="5"/>
      <c r="H108" s="5"/>
      <c r="I108" s="66"/>
      <c r="J108" s="5"/>
      <c r="K108" s="5"/>
    </row>
    <row r="109" spans="2:11" ht="144">
      <c r="B109" s="1460"/>
      <c r="C109" s="73"/>
      <c r="D109" s="36" t="s">
        <v>842</v>
      </c>
      <c r="E109" s="5"/>
      <c r="F109" s="5"/>
      <c r="G109" s="5"/>
      <c r="H109" s="5"/>
      <c r="I109" s="66"/>
      <c r="J109" s="5"/>
      <c r="K109" s="5"/>
    </row>
    <row r="110" spans="2:11" ht="84">
      <c r="B110" s="1460"/>
      <c r="C110" s="73"/>
      <c r="D110" s="36" t="s">
        <v>843</v>
      </c>
      <c r="E110" s="5"/>
      <c r="F110" s="5"/>
      <c r="G110" s="5"/>
      <c r="H110" s="5"/>
      <c r="I110" s="66"/>
      <c r="J110" s="5"/>
      <c r="K110" s="5"/>
    </row>
    <row r="111" spans="2:11" ht="48.6" thickBot="1">
      <c r="B111" s="1461"/>
      <c r="C111" s="2"/>
      <c r="D111" s="32" t="s">
        <v>844</v>
      </c>
      <c r="E111" s="5"/>
      <c r="F111" s="5"/>
      <c r="G111" s="5"/>
      <c r="H111" s="5"/>
      <c r="I111" s="66"/>
      <c r="J111" s="5"/>
      <c r="K111" s="5"/>
    </row>
    <row r="112" spans="2:11" ht="36">
      <c r="B112" s="1459" t="s">
        <v>89</v>
      </c>
      <c r="C112" s="73"/>
      <c r="D112" s="43" t="s">
        <v>828</v>
      </c>
      <c r="E112" s="5"/>
      <c r="F112" s="5"/>
      <c r="G112" s="5"/>
      <c r="H112" s="5"/>
      <c r="I112" s="66"/>
      <c r="J112" s="5"/>
      <c r="K112" s="5"/>
    </row>
    <row r="113" spans="2:11">
      <c r="B113" s="1460"/>
      <c r="C113" s="73"/>
      <c r="D113" s="13"/>
      <c r="E113" s="5"/>
      <c r="F113" s="5"/>
      <c r="G113" s="5"/>
      <c r="H113" s="5"/>
      <c r="I113" s="66"/>
      <c r="J113" s="5"/>
      <c r="K113" s="5"/>
    </row>
    <row r="114" spans="2:11">
      <c r="B114" s="1460"/>
      <c r="C114" s="73"/>
      <c r="D114" s="36" t="s">
        <v>90</v>
      </c>
      <c r="E114" s="5"/>
      <c r="F114" s="5"/>
      <c r="G114" s="5"/>
      <c r="H114" s="5"/>
      <c r="I114" s="66"/>
      <c r="J114" s="5"/>
      <c r="K114" s="5"/>
    </row>
    <row r="115" spans="2:11" ht="24">
      <c r="B115" s="1460"/>
      <c r="C115" s="73"/>
      <c r="D115" s="36" t="s">
        <v>845</v>
      </c>
      <c r="E115" s="5"/>
      <c r="F115" s="5"/>
      <c r="G115" s="5"/>
      <c r="H115" s="5"/>
      <c r="I115" s="66"/>
      <c r="J115" s="5"/>
      <c r="K115" s="5"/>
    </row>
    <row r="116" spans="2:11" ht="24">
      <c r="B116" s="1460"/>
      <c r="C116" s="73"/>
      <c r="D116" s="36" t="s">
        <v>846</v>
      </c>
      <c r="E116" s="5"/>
      <c r="F116" s="5"/>
      <c r="G116" s="5"/>
      <c r="H116" s="5"/>
      <c r="I116" s="66"/>
      <c r="J116" s="5"/>
      <c r="K116" s="5"/>
    </row>
    <row r="117" spans="2:11" ht="48">
      <c r="B117" s="1460"/>
      <c r="C117" s="73"/>
      <c r="D117" s="36" t="s">
        <v>847</v>
      </c>
      <c r="E117" s="5"/>
      <c r="F117" s="5"/>
      <c r="G117" s="5"/>
      <c r="H117" s="5"/>
      <c r="I117" s="66"/>
      <c r="J117" s="5"/>
      <c r="K117" s="5"/>
    </row>
    <row r="118" spans="2:11" ht="60">
      <c r="B118" s="1460"/>
      <c r="C118" s="73"/>
      <c r="D118" s="36" t="s">
        <v>848</v>
      </c>
      <c r="E118" s="5"/>
      <c r="F118" s="5"/>
      <c r="G118" s="5"/>
      <c r="H118" s="5"/>
      <c r="I118" s="66"/>
      <c r="J118" s="5"/>
      <c r="K118" s="5"/>
    </row>
    <row r="119" spans="2:11" ht="60">
      <c r="B119" s="1460"/>
      <c r="C119" s="73"/>
      <c r="D119" s="48" t="s">
        <v>849</v>
      </c>
      <c r="E119" s="5"/>
      <c r="F119" s="5"/>
      <c r="G119" s="5"/>
      <c r="H119" s="5"/>
      <c r="I119" s="66"/>
      <c r="J119" s="5"/>
      <c r="K119" s="5"/>
    </row>
    <row r="120" spans="2:11" ht="24">
      <c r="B120" s="1460"/>
      <c r="C120" s="73"/>
      <c r="D120" s="36" t="s">
        <v>850</v>
      </c>
      <c r="E120" s="5"/>
      <c r="F120" s="5"/>
      <c r="G120" s="5"/>
      <c r="H120" s="5"/>
      <c r="I120" s="66"/>
      <c r="J120" s="5"/>
      <c r="K120" s="5"/>
    </row>
    <row r="121" spans="2:11" ht="24">
      <c r="B121" s="1460"/>
      <c r="C121" s="73"/>
      <c r="D121" s="36" t="s">
        <v>851</v>
      </c>
      <c r="E121" s="5"/>
      <c r="F121" s="5"/>
      <c r="G121" s="5"/>
      <c r="H121" s="5"/>
      <c r="I121" s="66"/>
      <c r="J121" s="5"/>
      <c r="K121" s="5"/>
    </row>
    <row r="122" spans="2:11" ht="24">
      <c r="B122" s="1460"/>
      <c r="C122" s="73"/>
      <c r="D122" s="36" t="s">
        <v>852</v>
      </c>
      <c r="E122" s="5"/>
      <c r="F122" s="5"/>
      <c r="G122" s="5"/>
      <c r="H122" s="5"/>
      <c r="I122" s="66"/>
      <c r="J122" s="5"/>
      <c r="K122" s="5"/>
    </row>
    <row r="123" spans="2:11" ht="36">
      <c r="B123" s="1460"/>
      <c r="C123" s="73"/>
      <c r="D123" s="36" t="s">
        <v>853</v>
      </c>
      <c r="E123" s="5"/>
      <c r="F123" s="5"/>
      <c r="G123" s="5"/>
      <c r="H123" s="5"/>
      <c r="I123" s="66"/>
      <c r="J123" s="5"/>
      <c r="K123" s="5"/>
    </row>
    <row r="124" spans="2:11" ht="24.6" thickBot="1">
      <c r="B124" s="1461"/>
      <c r="C124" s="2"/>
      <c r="D124" s="32" t="s">
        <v>854</v>
      </c>
      <c r="E124" s="5"/>
      <c r="F124" s="5"/>
      <c r="G124" s="5"/>
      <c r="H124" s="5"/>
      <c r="I124" s="66"/>
      <c r="J124" s="5"/>
      <c r="K124" s="5"/>
    </row>
    <row r="125" spans="2:11">
      <c r="B125" s="5"/>
      <c r="D125" s="5"/>
      <c r="E125" s="5"/>
      <c r="F125" s="5"/>
      <c r="G125" s="5"/>
      <c r="H125" s="5"/>
      <c r="I125" s="66"/>
      <c r="J125" s="5"/>
      <c r="K125" s="5"/>
    </row>
    <row r="126" spans="2:11">
      <c r="B126" s="5"/>
      <c r="D126" s="5"/>
      <c r="E126" s="5"/>
      <c r="F126" s="5"/>
      <c r="G126" s="5"/>
      <c r="H126" s="5"/>
      <c r="I126" s="66"/>
      <c r="J126" s="5"/>
      <c r="K126" s="5"/>
    </row>
    <row r="127" spans="2:11">
      <c r="B127" s="5"/>
      <c r="D127" s="5"/>
      <c r="E127" s="5"/>
      <c r="F127" s="5"/>
      <c r="G127" s="5"/>
      <c r="H127" s="5"/>
      <c r="I127" s="66"/>
      <c r="J127" s="5"/>
      <c r="K127" s="5"/>
    </row>
    <row r="128" spans="2:11">
      <c r="B128" s="5"/>
      <c r="D128" s="5"/>
      <c r="E128" s="5"/>
      <c r="F128" s="5"/>
      <c r="G128" s="5"/>
      <c r="H128" s="5"/>
      <c r="I128" s="66"/>
      <c r="J128" s="5"/>
      <c r="K128" s="5"/>
    </row>
    <row r="129" spans="2:11">
      <c r="B129" s="5"/>
      <c r="D129" s="5"/>
      <c r="E129" s="5"/>
      <c r="F129" s="5"/>
      <c r="G129" s="5"/>
      <c r="H129" s="5"/>
      <c r="I129" s="66"/>
      <c r="J129" s="5"/>
      <c r="K129" s="5"/>
    </row>
    <row r="130" spans="2:11">
      <c r="B130" s="5"/>
      <c r="D130" s="5"/>
      <c r="E130" s="5"/>
      <c r="F130" s="5"/>
      <c r="G130" s="5"/>
      <c r="H130" s="5"/>
      <c r="I130" s="66"/>
      <c r="J130" s="5"/>
      <c r="K130" s="5"/>
    </row>
    <row r="131" spans="2:11">
      <c r="B131" s="5"/>
      <c r="D131" s="5"/>
      <c r="E131" s="5"/>
      <c r="F131" s="5"/>
      <c r="G131" s="5"/>
      <c r="H131" s="5"/>
      <c r="I131" s="66"/>
      <c r="J131" s="5"/>
      <c r="K131" s="5"/>
    </row>
    <row r="132" spans="2:11">
      <c r="B132" s="5"/>
      <c r="D132" s="5"/>
      <c r="E132" s="5"/>
      <c r="F132" s="5"/>
      <c r="G132" s="5"/>
      <c r="H132" s="5"/>
      <c r="I132" s="66"/>
      <c r="J132" s="5"/>
      <c r="K132" s="5"/>
    </row>
    <row r="133" spans="2:11">
      <c r="B133" s="5"/>
      <c r="D133" s="5"/>
      <c r="E133" s="5"/>
      <c r="F133" s="5"/>
      <c r="G133" s="5"/>
      <c r="H133" s="5"/>
      <c r="I133" s="66"/>
      <c r="J133" s="5"/>
      <c r="K133" s="5"/>
    </row>
    <row r="134" spans="2:11">
      <c r="B134" s="5"/>
      <c r="D134" s="5"/>
      <c r="E134" s="5"/>
      <c r="F134" s="5"/>
      <c r="G134" s="5"/>
      <c r="H134" s="5"/>
      <c r="I134" s="66"/>
      <c r="J134" s="5"/>
      <c r="K134" s="5"/>
    </row>
    <row r="135" spans="2:11">
      <c r="B135" s="5"/>
      <c r="D135" s="5"/>
      <c r="E135" s="5"/>
      <c r="F135" s="5"/>
      <c r="G135" s="5"/>
      <c r="H135" s="5"/>
      <c r="I135" s="66"/>
      <c r="J135" s="5"/>
      <c r="K135" s="5"/>
    </row>
    <row r="136" spans="2:11">
      <c r="B136" s="5"/>
      <c r="D136" s="5"/>
      <c r="E136" s="5"/>
      <c r="F136" s="5"/>
      <c r="G136" s="5"/>
      <c r="H136" s="5"/>
      <c r="I136" s="66"/>
      <c r="J136" s="5"/>
      <c r="K136" s="5"/>
    </row>
    <row r="137" spans="2:11">
      <c r="B137" s="5"/>
      <c r="D137" s="5"/>
      <c r="E137" s="5"/>
      <c r="F137" s="5"/>
      <c r="G137" s="5"/>
      <c r="H137" s="5"/>
      <c r="I137" s="66"/>
      <c r="J137" s="5"/>
      <c r="K137" s="5"/>
    </row>
    <row r="138" spans="2:11">
      <c r="B138" s="5"/>
      <c r="D138" s="5"/>
      <c r="E138" s="5"/>
      <c r="F138" s="5"/>
      <c r="G138" s="5"/>
      <c r="H138" s="5"/>
      <c r="I138" s="66"/>
      <c r="J138" s="5"/>
      <c r="K138" s="5"/>
    </row>
    <row r="139" spans="2:11">
      <c r="B139" s="5"/>
      <c r="D139" s="5"/>
      <c r="E139" s="5"/>
      <c r="F139" s="5"/>
      <c r="G139" s="5"/>
      <c r="H139" s="5"/>
      <c r="I139" s="66"/>
      <c r="J139" s="5"/>
      <c r="K139" s="5"/>
    </row>
    <row r="140" spans="2:11">
      <c r="B140" s="5"/>
      <c r="D140" s="5"/>
      <c r="E140" s="5"/>
      <c r="F140" s="5"/>
      <c r="G140" s="5"/>
      <c r="H140" s="5"/>
      <c r="I140" s="66"/>
      <c r="J140" s="5"/>
      <c r="K140" s="5"/>
    </row>
    <row r="141" spans="2:11">
      <c r="B141" s="5"/>
      <c r="D141" s="5"/>
      <c r="E141" s="5"/>
      <c r="F141" s="5"/>
      <c r="G141" s="5"/>
      <c r="H141" s="5"/>
      <c r="I141" s="66"/>
      <c r="J141" s="5"/>
      <c r="K141" s="5"/>
    </row>
    <row r="142" spans="2:11">
      <c r="B142" s="5"/>
      <c r="D142" s="5"/>
      <c r="E142" s="5"/>
      <c r="F142" s="5"/>
      <c r="G142" s="5"/>
      <c r="H142" s="5"/>
      <c r="I142" s="66"/>
      <c r="J142" s="5"/>
      <c r="K142" s="5"/>
    </row>
    <row r="143" spans="2:11">
      <c r="B143" s="5"/>
      <c r="D143" s="5"/>
      <c r="E143" s="5"/>
      <c r="F143" s="5"/>
      <c r="G143" s="5"/>
      <c r="H143" s="5"/>
      <c r="I143" s="66"/>
      <c r="J143" s="5"/>
      <c r="K143" s="5"/>
    </row>
    <row r="144" spans="2:11">
      <c r="B144" s="5"/>
      <c r="D144" s="5"/>
      <c r="E144" s="5"/>
      <c r="F144" s="5"/>
      <c r="G144" s="5"/>
      <c r="H144" s="5"/>
      <c r="I144" s="66"/>
      <c r="J144" s="5"/>
      <c r="K144" s="5"/>
    </row>
    <row r="145" spans="2:11">
      <c r="B145" s="5"/>
      <c r="D145" s="5"/>
      <c r="E145" s="5"/>
      <c r="F145" s="5"/>
      <c r="G145" s="5"/>
      <c r="H145" s="5"/>
      <c r="I145" s="66"/>
      <c r="J145" s="5"/>
      <c r="K145" s="5"/>
    </row>
    <row r="146" spans="2:11">
      <c r="B146" s="5"/>
      <c r="D146" s="5"/>
      <c r="E146" s="5"/>
      <c r="F146" s="5"/>
      <c r="G146" s="5"/>
      <c r="H146" s="5"/>
      <c r="I146" s="66"/>
      <c r="J146" s="5"/>
      <c r="K146" s="5"/>
    </row>
    <row r="147" spans="2:11">
      <c r="B147" s="5"/>
      <c r="D147" s="5"/>
      <c r="E147" s="5"/>
      <c r="F147" s="5"/>
      <c r="G147" s="5"/>
      <c r="H147" s="5"/>
      <c r="I147" s="66"/>
      <c r="J147" s="5"/>
      <c r="K147" s="5"/>
    </row>
    <row r="148" spans="2:11">
      <c r="B148" s="5"/>
      <c r="D148" s="5"/>
      <c r="E148" s="5"/>
      <c r="F148" s="5"/>
      <c r="G148" s="5"/>
      <c r="H148" s="5"/>
      <c r="I148" s="66"/>
      <c r="J148" s="5"/>
      <c r="K148" s="5"/>
    </row>
    <row r="149" spans="2:11">
      <c r="B149" s="5"/>
      <c r="D149" s="5"/>
      <c r="E149" s="5"/>
      <c r="F149" s="5"/>
      <c r="G149" s="5"/>
      <c r="H149" s="5"/>
      <c r="I149" s="66"/>
      <c r="J149" s="5"/>
      <c r="K149" s="5"/>
    </row>
    <row r="150" spans="2:11">
      <c r="B150" s="5"/>
      <c r="D150" s="5"/>
      <c r="E150" s="5"/>
      <c r="F150" s="5"/>
      <c r="G150" s="5"/>
      <c r="H150" s="5"/>
      <c r="I150" s="66"/>
      <c r="J150" s="5"/>
      <c r="K150" s="5"/>
    </row>
    <row r="151" spans="2:11">
      <c r="B151" s="5"/>
      <c r="D151" s="5"/>
      <c r="E151" s="5"/>
      <c r="F151" s="5"/>
      <c r="G151" s="5"/>
      <c r="H151" s="5"/>
      <c r="I151" s="66"/>
      <c r="J151" s="5"/>
      <c r="K151" s="5"/>
    </row>
    <row r="152" spans="2:11">
      <c r="B152" s="5"/>
      <c r="D152" s="5"/>
      <c r="E152" s="5"/>
      <c r="F152" s="5"/>
      <c r="G152" s="5"/>
      <c r="H152" s="5"/>
      <c r="I152" s="66"/>
      <c r="J152" s="5"/>
      <c r="K152" s="5"/>
    </row>
    <row r="153" spans="2:11">
      <c r="B153" s="5"/>
      <c r="D153" s="5"/>
      <c r="E153" s="5"/>
      <c r="F153" s="5"/>
      <c r="G153" s="5"/>
      <c r="H153" s="5"/>
      <c r="I153" s="66"/>
      <c r="J153" s="5"/>
      <c r="K153" s="5"/>
    </row>
    <row r="154" spans="2:11">
      <c r="B154" s="5"/>
      <c r="D154" s="5"/>
      <c r="E154" s="5"/>
      <c r="F154" s="5"/>
      <c r="G154" s="5"/>
      <c r="H154" s="5"/>
      <c r="I154" s="66"/>
      <c r="J154" s="5"/>
      <c r="K154" s="5"/>
    </row>
    <row r="155" spans="2:11">
      <c r="B155" s="5"/>
      <c r="D155" s="5"/>
      <c r="E155" s="5"/>
      <c r="F155" s="5"/>
      <c r="G155" s="5"/>
      <c r="H155" s="5"/>
      <c r="I155" s="66"/>
      <c r="J155" s="5"/>
      <c r="K155" s="5"/>
    </row>
    <row r="156" spans="2:11">
      <c r="B156" s="5"/>
      <c r="D156" s="5"/>
      <c r="E156" s="5"/>
      <c r="F156" s="5"/>
      <c r="G156" s="5"/>
      <c r="H156" s="5"/>
      <c r="I156" s="66"/>
      <c r="J156" s="5"/>
      <c r="K156" s="5"/>
    </row>
    <row r="157" spans="2:11">
      <c r="B157" s="5"/>
      <c r="D157" s="5"/>
      <c r="E157" s="5"/>
      <c r="F157" s="5"/>
      <c r="G157" s="5"/>
      <c r="H157" s="5"/>
      <c r="I157" s="66"/>
      <c r="J157" s="5"/>
      <c r="K157" s="5"/>
    </row>
    <row r="158" spans="2:11">
      <c r="B158" s="5"/>
      <c r="D158" s="5"/>
      <c r="E158" s="5"/>
      <c r="F158" s="5"/>
      <c r="G158" s="5"/>
      <c r="H158" s="5"/>
      <c r="I158" s="66"/>
      <c r="J158" s="5"/>
      <c r="K158" s="5"/>
    </row>
    <row r="159" spans="2:11">
      <c r="B159" s="5"/>
      <c r="D159" s="5"/>
      <c r="E159" s="5"/>
      <c r="F159" s="5"/>
      <c r="G159" s="5"/>
      <c r="H159" s="5"/>
      <c r="I159" s="66"/>
      <c r="J159" s="5"/>
      <c r="K159" s="5"/>
    </row>
    <row r="160" spans="2:11">
      <c r="B160" s="5"/>
      <c r="D160" s="5"/>
      <c r="E160" s="5"/>
      <c r="F160" s="5"/>
      <c r="G160" s="5"/>
      <c r="H160" s="5"/>
      <c r="I160" s="66"/>
      <c r="J160" s="5"/>
      <c r="K160" s="5"/>
    </row>
    <row r="161" spans="2:11">
      <c r="B161" s="5"/>
      <c r="D161" s="5"/>
      <c r="E161" s="5"/>
      <c r="F161" s="5"/>
      <c r="G161" s="5"/>
      <c r="H161" s="5"/>
      <c r="I161" s="66"/>
      <c r="J161" s="5"/>
      <c r="K161" s="5"/>
    </row>
    <row r="162" spans="2:11">
      <c r="B162" s="5"/>
      <c r="D162" s="5"/>
      <c r="E162" s="5"/>
      <c r="F162" s="5"/>
      <c r="G162" s="5"/>
      <c r="H162" s="5"/>
      <c r="I162" s="66"/>
      <c r="J162" s="5"/>
      <c r="K162" s="5"/>
    </row>
    <row r="163" spans="2:11">
      <c r="B163" s="5"/>
      <c r="D163" s="5"/>
      <c r="E163" s="5"/>
      <c r="F163" s="5"/>
      <c r="G163" s="5"/>
      <c r="H163" s="5"/>
      <c r="I163" s="66"/>
      <c r="J163" s="5"/>
      <c r="K163" s="5"/>
    </row>
    <row r="164" spans="2:11">
      <c r="B164" s="5"/>
      <c r="D164" s="5"/>
      <c r="E164" s="5"/>
      <c r="F164" s="5"/>
      <c r="G164" s="5"/>
      <c r="H164" s="5"/>
      <c r="I164" s="66"/>
      <c r="J164" s="5"/>
      <c r="K164" s="5"/>
    </row>
    <row r="165" spans="2:11">
      <c r="B165" s="5"/>
      <c r="D165" s="5"/>
      <c r="E165" s="5"/>
      <c r="F165" s="5"/>
      <c r="G165" s="5"/>
      <c r="H165" s="5"/>
      <c r="I165" s="66"/>
      <c r="J165" s="5"/>
      <c r="K165" s="5"/>
    </row>
    <row r="166" spans="2:11">
      <c r="B166" s="5"/>
      <c r="D166" s="5"/>
      <c r="E166" s="5"/>
      <c r="F166" s="5"/>
      <c r="G166" s="5"/>
      <c r="H166" s="5"/>
      <c r="I166" s="66"/>
      <c r="J166" s="5"/>
      <c r="K166" s="5"/>
    </row>
    <row r="167" spans="2:11">
      <c r="B167" s="5"/>
      <c r="D167" s="5"/>
      <c r="E167" s="5"/>
      <c r="F167" s="5"/>
      <c r="G167" s="5"/>
      <c r="H167" s="5"/>
      <c r="I167" s="66"/>
      <c r="J167" s="5"/>
      <c r="K167" s="5"/>
    </row>
    <row r="168" spans="2:11">
      <c r="B168" s="5"/>
      <c r="D168" s="5"/>
      <c r="E168" s="5"/>
      <c r="F168" s="5"/>
      <c r="G168" s="5"/>
      <c r="H168" s="5"/>
      <c r="I168" s="66"/>
      <c r="J168" s="5"/>
      <c r="K168" s="5"/>
    </row>
    <row r="169" spans="2:11">
      <c r="B169" s="5"/>
      <c r="D169" s="5"/>
      <c r="E169" s="5"/>
      <c r="F169" s="5"/>
      <c r="G169" s="5"/>
      <c r="H169" s="5"/>
      <c r="I169" s="66"/>
      <c r="J169" s="5"/>
      <c r="K169" s="5"/>
    </row>
    <row r="170" spans="2:11">
      <c r="B170" s="5"/>
      <c r="D170" s="5"/>
      <c r="E170" s="5"/>
      <c r="F170" s="5"/>
      <c r="G170" s="5"/>
      <c r="H170" s="5"/>
      <c r="I170" s="66"/>
      <c r="J170" s="5"/>
      <c r="K170" s="5"/>
    </row>
    <row r="171" spans="2:11">
      <c r="B171" s="5"/>
      <c r="D171" s="5"/>
      <c r="E171" s="5"/>
      <c r="F171" s="5"/>
      <c r="G171" s="5"/>
      <c r="H171" s="5"/>
      <c r="I171" s="66"/>
      <c r="J171" s="5"/>
      <c r="K171" s="5"/>
    </row>
    <row r="172" spans="2:11">
      <c r="B172" s="5"/>
      <c r="D172" s="5"/>
      <c r="E172" s="5"/>
      <c r="F172" s="5"/>
      <c r="G172" s="5"/>
      <c r="H172" s="5"/>
      <c r="I172" s="66"/>
      <c r="J172" s="5"/>
      <c r="K172" s="5"/>
    </row>
    <row r="173" spans="2:11">
      <c r="B173" s="5"/>
      <c r="D173" s="5"/>
      <c r="E173" s="5"/>
      <c r="F173" s="5"/>
      <c r="G173" s="5"/>
      <c r="H173" s="5"/>
      <c r="I173" s="66"/>
      <c r="J173" s="5"/>
      <c r="K173" s="5"/>
    </row>
    <row r="174" spans="2:11">
      <c r="B174" s="5"/>
      <c r="D174" s="5"/>
      <c r="E174" s="5"/>
      <c r="F174" s="5"/>
      <c r="G174" s="5"/>
      <c r="H174" s="5"/>
      <c r="I174" s="66"/>
      <c r="J174" s="5"/>
      <c r="K174" s="5"/>
    </row>
    <row r="175" spans="2:11">
      <c r="B175" s="5"/>
      <c r="D175" s="5"/>
      <c r="E175" s="5"/>
      <c r="F175" s="5"/>
      <c r="G175" s="5"/>
      <c r="H175" s="5"/>
      <c r="I175" s="66"/>
      <c r="J175" s="5"/>
      <c r="K175" s="5"/>
    </row>
    <row r="176" spans="2:11">
      <c r="B176" s="5"/>
      <c r="D176" s="5"/>
      <c r="E176" s="5"/>
      <c r="F176" s="5"/>
      <c r="G176" s="5"/>
      <c r="H176" s="5"/>
      <c r="I176" s="66"/>
      <c r="J176" s="5"/>
      <c r="K176" s="5"/>
    </row>
    <row r="177" spans="2:11">
      <c r="B177" s="5"/>
      <c r="D177" s="5"/>
      <c r="E177" s="5"/>
      <c r="F177" s="5"/>
      <c r="G177" s="5"/>
      <c r="H177" s="5"/>
      <c r="I177" s="66"/>
      <c r="J177" s="5"/>
      <c r="K177" s="5"/>
    </row>
    <row r="178" spans="2:11">
      <c r="B178" s="5"/>
      <c r="D178" s="5"/>
      <c r="E178" s="5"/>
      <c r="F178" s="5"/>
      <c r="G178" s="5"/>
      <c r="H178" s="5"/>
      <c r="I178" s="66"/>
      <c r="J178" s="5"/>
      <c r="K178" s="5"/>
    </row>
    <row r="179" spans="2:11">
      <c r="B179" s="5"/>
      <c r="D179" s="5"/>
      <c r="E179" s="5"/>
      <c r="F179" s="5"/>
      <c r="G179" s="5"/>
      <c r="H179" s="5"/>
      <c r="I179" s="66"/>
      <c r="J179" s="5"/>
      <c r="K179" s="5"/>
    </row>
    <row r="180" spans="2:11">
      <c r="B180" s="5"/>
      <c r="D180" s="5"/>
      <c r="E180" s="5"/>
      <c r="F180" s="5"/>
      <c r="G180" s="5"/>
      <c r="H180" s="5"/>
      <c r="I180" s="66"/>
      <c r="J180" s="5"/>
      <c r="K180" s="5"/>
    </row>
    <row r="181" spans="2:11">
      <c r="B181" s="5"/>
      <c r="D181" s="5"/>
      <c r="E181" s="5"/>
      <c r="F181" s="5"/>
      <c r="G181" s="5"/>
      <c r="H181" s="5"/>
      <c r="I181" s="66"/>
      <c r="J181" s="5"/>
      <c r="K181" s="5"/>
    </row>
    <row r="182" spans="2:11">
      <c r="B182" s="5"/>
      <c r="D182" s="5"/>
      <c r="E182" s="5"/>
      <c r="F182" s="5"/>
      <c r="G182" s="5"/>
      <c r="H182" s="5"/>
      <c r="I182" s="66"/>
      <c r="J182" s="5"/>
      <c r="K182" s="5"/>
    </row>
    <row r="183" spans="2:11">
      <c r="B183" s="5"/>
      <c r="D183" s="5"/>
      <c r="E183" s="5"/>
      <c r="F183" s="5"/>
      <c r="G183" s="5"/>
      <c r="H183" s="5"/>
      <c r="I183" s="66"/>
      <c r="J183" s="5"/>
      <c r="K183" s="5"/>
    </row>
    <row r="184" spans="2:11">
      <c r="B184" s="5"/>
      <c r="D184" s="5"/>
      <c r="E184" s="5"/>
      <c r="F184" s="5"/>
      <c r="G184" s="5"/>
      <c r="H184" s="5"/>
      <c r="I184" s="66"/>
      <c r="J184" s="5"/>
      <c r="K184" s="5"/>
    </row>
    <row r="185" spans="2:11">
      <c r="B185" s="5"/>
      <c r="D185" s="5"/>
      <c r="E185" s="5"/>
      <c r="F185" s="5"/>
      <c r="G185" s="5"/>
      <c r="H185" s="5"/>
      <c r="I185" s="66"/>
      <c r="J185" s="5"/>
      <c r="K185" s="5"/>
    </row>
    <row r="186" spans="2:11">
      <c r="B186" s="5"/>
      <c r="D186" s="5"/>
      <c r="E186" s="5"/>
      <c r="F186" s="5"/>
      <c r="G186" s="5"/>
      <c r="H186" s="5"/>
      <c r="I186" s="66"/>
      <c r="J186" s="5"/>
      <c r="K186" s="5"/>
    </row>
    <row r="187" spans="2:11">
      <c r="B187" s="5"/>
      <c r="D187" s="5"/>
      <c r="E187" s="5"/>
      <c r="F187" s="5"/>
      <c r="G187" s="5"/>
      <c r="H187" s="5"/>
      <c r="I187" s="66"/>
      <c r="J187" s="5"/>
      <c r="K187" s="5"/>
    </row>
    <row r="188" spans="2:11">
      <c r="B188" s="5"/>
      <c r="D188" s="5"/>
      <c r="E188" s="5"/>
      <c r="F188" s="5"/>
      <c r="G188" s="5"/>
      <c r="H188" s="5"/>
      <c r="I188" s="66"/>
      <c r="J188" s="5"/>
      <c r="K188" s="5"/>
    </row>
    <row r="189" spans="2:11">
      <c r="B189" s="5"/>
      <c r="D189" s="5"/>
      <c r="E189" s="5"/>
      <c r="F189" s="5"/>
      <c r="G189" s="5"/>
      <c r="H189" s="5"/>
      <c r="I189" s="66"/>
      <c r="J189" s="5"/>
      <c r="K189" s="5"/>
    </row>
  </sheetData>
  <sheetProtection insertColumns="0" insertRows="0"/>
  <mergeCells count="37">
    <mergeCell ref="B10:D10"/>
    <mergeCell ref="F10:S10"/>
    <mergeCell ref="F11:S11"/>
    <mergeCell ref="E12:R12"/>
    <mergeCell ref="E13:R13"/>
    <mergeCell ref="D37:I37"/>
    <mergeCell ref="B91:B92"/>
    <mergeCell ref="B93:B103"/>
    <mergeCell ref="B105:B111"/>
    <mergeCell ref="B112:B124"/>
    <mergeCell ref="B15:B49"/>
    <mergeCell ref="D15:I15"/>
    <mergeCell ref="D16:I16"/>
    <mergeCell ref="D17:I17"/>
    <mergeCell ref="D22:I22"/>
    <mergeCell ref="D23:I23"/>
    <mergeCell ref="D24:I24"/>
    <mergeCell ref="D29:I29"/>
    <mergeCell ref="D30:I30"/>
    <mergeCell ref="D31:I31"/>
    <mergeCell ref="D36:I36"/>
    <mergeCell ref="D38:I38"/>
    <mergeCell ref="D43:I43"/>
    <mergeCell ref="D44:I44"/>
    <mergeCell ref="D45:I45"/>
    <mergeCell ref="D60:I60"/>
    <mergeCell ref="B86:D87"/>
    <mergeCell ref="D61:I61"/>
    <mergeCell ref="B63:E63"/>
    <mergeCell ref="B64:B70"/>
    <mergeCell ref="B72:E72"/>
    <mergeCell ref="B73:B79"/>
    <mergeCell ref="A1:P1"/>
    <mergeCell ref="A2:P2"/>
    <mergeCell ref="A3:P3"/>
    <mergeCell ref="A4:D4"/>
    <mergeCell ref="A5:P5"/>
  </mergeCells>
  <conditionalFormatting sqref="E12:R12">
    <cfRule type="expression" dxfId="37" priority="1">
      <formula>E11="SI SE REPORTA"</formula>
    </cfRule>
  </conditionalFormatting>
  <conditionalFormatting sqref="F10">
    <cfRule type="notContainsBlanks" dxfId="36" priority="4">
      <formula>LEN(TRIM(F10))&gt;0</formula>
    </cfRule>
  </conditionalFormatting>
  <conditionalFormatting sqref="F11:S11">
    <cfRule type="expression" dxfId="35" priority="2">
      <formula>E11="NO SE REPORTA"</formula>
    </cfRule>
    <cfRule type="expression" dxfId="34" priority="3">
      <formula>E10="NO APLICA"</formula>
    </cfRule>
  </conditionalFormatting>
  <dataValidations xWindow="979" yWindow="476" count="4">
    <dataValidation type="whole" operator="greaterThanOrEqual" allowBlank="1" showErrorMessage="1" errorTitle="ERROR" error="Escriba un número igual o mayor que 0" promptTitle="ERROR" prompt="Escriba un número igual o mayor que 0" sqref="E40:H41 E19:H20 E26:H27 E33:H34 E47:H48" xr:uid="{FDBCF1E2-640B-4046-B3D9-DAB6B746399F}">
      <formula1>0</formula1>
    </dataValidation>
    <dataValidation allowBlank="1" showInputMessage="1" showErrorMessage="1" sqref="E49:H49 E52:E57 G52:G57 F57 E21:H21 I26:I28 E28:H28 E35:I35 I33:I34 I40:I42 E42:H42 I47:I49" xr:uid="{F4C3073C-857C-4858-B9D4-2CD2E2064522}"/>
    <dataValidation type="list" allowBlank="1" showInputMessage="1" showErrorMessage="1" sqref="E11" xr:uid="{66B5D433-DC0B-459B-90EB-99C8B531C0EB}">
      <formula1>REPORTE</formula1>
    </dataValidation>
    <dataValidation type="list" allowBlank="1" showInputMessage="1" showErrorMessage="1" sqref="E10" xr:uid="{E1A3EE95-BC1A-4E54-8D9A-2A02FEC36906}">
      <formula1>SI</formula1>
    </dataValidation>
  </dataValidations>
  <hyperlinks>
    <hyperlink ref="B9" location="'ANEXO 3'!A1" display="VOLVER AL INDICE" xr:uid="{1FE9BA41-8322-4733-ADC0-D7A711FE3970}"/>
    <hyperlink ref="E68" r:id="rId1" display="jrestrepo@crautonoma.gov.co" xr:uid="{E3592CA0-67A0-4864-AF90-17AE107D8EB9}"/>
  </hyperlinks>
  <pageMargins left="0.25" right="0.25" top="0.75" bottom="0.75" header="0.3" footer="0.3"/>
  <pageSetup paperSize="178" orientation="landscape" horizontalDpi="1200" verticalDpi="1200" r:id="rId2"/>
  <ignoredErrors>
    <ignoredError sqref="F52 F53:F56" unlockedFormula="1"/>
  </ignoredErrors>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32"/>
  <dimension ref="A1:U192"/>
  <sheetViews>
    <sheetView showGridLines="0" topLeftCell="A121" zoomScale="98" zoomScaleNormal="98" workbookViewId="0">
      <selection activeCell="F112" sqref="F112"/>
    </sheetView>
  </sheetViews>
  <sheetFormatPr baseColWidth="10" defaultRowHeight="14.4"/>
  <cols>
    <col min="1" max="1" width="1.88671875" customWidth="1"/>
    <col min="2" max="2" width="12.88671875" customWidth="1"/>
    <col min="3" max="3" width="5" style="66" bestFit="1" customWidth="1"/>
    <col min="4" max="4" width="34.88671875" customWidth="1"/>
    <col min="5" max="5" width="18.5546875" customWidth="1"/>
    <col min="6" max="6" width="12.5546875" customWidth="1"/>
    <col min="9" max="9" width="11.5546875" style="110"/>
  </cols>
  <sheetData>
    <row r="1" spans="1:21" s="314" customFormat="1" ht="100.5" customHeight="1" thickBot="1">
      <c r="A1" s="1421"/>
      <c r="B1" s="1422"/>
      <c r="C1" s="1422"/>
      <c r="D1" s="1422"/>
      <c r="E1" s="1422"/>
      <c r="F1" s="1422"/>
      <c r="G1" s="1422"/>
      <c r="H1" s="1422"/>
      <c r="I1" s="1422"/>
      <c r="J1" s="1422"/>
      <c r="K1" s="1422"/>
      <c r="L1" s="1422"/>
      <c r="M1" s="1422"/>
      <c r="N1" s="1422"/>
      <c r="O1" s="1422"/>
      <c r="P1" s="1423"/>
      <c r="Q1"/>
      <c r="R1"/>
    </row>
    <row r="2" spans="1:21" s="315" customFormat="1" ht="16.2" thickBot="1">
      <c r="A2" s="1418" t="str">
        <f>+'[9]Datos Generales'!C5</f>
        <v>Corporación Autónoma Regional del Atlántico – CRA</v>
      </c>
      <c r="B2" s="1419"/>
      <c r="C2" s="1419"/>
      <c r="D2" s="1419"/>
      <c r="E2" s="1419"/>
      <c r="F2" s="1419"/>
      <c r="G2" s="1419"/>
      <c r="H2" s="1419"/>
      <c r="I2" s="1419"/>
      <c r="J2" s="1419"/>
      <c r="K2" s="1419"/>
      <c r="L2" s="1419"/>
      <c r="M2" s="1419"/>
      <c r="N2" s="1419"/>
      <c r="O2" s="1419"/>
      <c r="P2" s="1420"/>
      <c r="Q2"/>
      <c r="R2"/>
    </row>
    <row r="3" spans="1:21" s="315" customFormat="1" ht="16.2" thickBot="1">
      <c r="A3" s="1426" t="s">
        <v>1295</v>
      </c>
      <c r="B3" s="1427"/>
      <c r="C3" s="1427"/>
      <c r="D3" s="1427"/>
      <c r="E3" s="1427"/>
      <c r="F3" s="1427"/>
      <c r="G3" s="1427"/>
      <c r="H3" s="1427"/>
      <c r="I3" s="1427"/>
      <c r="J3" s="1427"/>
      <c r="K3" s="1427"/>
      <c r="L3" s="1427"/>
      <c r="M3" s="1427"/>
      <c r="N3" s="1427"/>
      <c r="O3" s="1427"/>
      <c r="P3" s="1428"/>
      <c r="Q3"/>
      <c r="R3"/>
    </row>
    <row r="4" spans="1:21" s="315" customFormat="1" ht="16.2" thickBot="1">
      <c r="A4" s="1424" t="s">
        <v>1294</v>
      </c>
      <c r="B4" s="1425"/>
      <c r="C4" s="1425"/>
      <c r="D4" s="1425"/>
      <c r="E4" s="322" t="str">
        <f>+'[8]Datos Generales'!C6</f>
        <v>2023-II</v>
      </c>
      <c r="F4" s="322"/>
      <c r="G4" s="322"/>
      <c r="H4" s="322"/>
      <c r="I4" s="322"/>
      <c r="J4" s="322"/>
      <c r="K4" s="322"/>
      <c r="L4" s="323"/>
      <c r="M4" s="323"/>
      <c r="N4" s="323"/>
      <c r="O4" s="323"/>
      <c r="P4" s="324"/>
      <c r="Q4"/>
      <c r="R4"/>
    </row>
    <row r="5" spans="1:21" ht="16.5" customHeight="1" thickBot="1">
      <c r="A5" s="1426" t="s">
        <v>875</v>
      </c>
      <c r="B5" s="1427"/>
      <c r="C5" s="1427"/>
      <c r="D5" s="1427"/>
      <c r="E5" s="1427"/>
      <c r="F5" s="1427"/>
      <c r="G5" s="1427"/>
      <c r="H5" s="1427"/>
      <c r="I5" s="1427"/>
      <c r="J5" s="1427"/>
      <c r="K5" s="1427"/>
      <c r="L5" s="1427"/>
      <c r="M5" s="1427"/>
      <c r="N5" s="1427"/>
      <c r="O5" s="1427"/>
      <c r="P5" s="1428"/>
    </row>
    <row r="6" spans="1:21">
      <c r="B6" s="1" t="s">
        <v>1</v>
      </c>
      <c r="C6" s="64"/>
      <c r="D6" s="5"/>
      <c r="E6" s="62"/>
      <c r="F6" s="5" t="s">
        <v>127</v>
      </c>
      <c r="G6" s="5"/>
      <c r="H6" s="5"/>
      <c r="I6" s="66"/>
      <c r="J6" s="5"/>
      <c r="K6" s="5"/>
    </row>
    <row r="7" spans="1:21" ht="15" thickBot="1">
      <c r="B7" s="63"/>
      <c r="C7" s="65"/>
      <c r="D7" s="5"/>
      <c r="E7" s="14"/>
      <c r="F7" s="5" t="s">
        <v>128</v>
      </c>
      <c r="G7" s="5"/>
      <c r="H7" s="5"/>
      <c r="I7" s="66"/>
      <c r="J7" s="5"/>
      <c r="K7" s="5"/>
    </row>
    <row r="8" spans="1:21" ht="15" thickBot="1">
      <c r="B8" s="144" t="s">
        <v>1180</v>
      </c>
      <c r="C8" s="571">
        <v>2023</v>
      </c>
      <c r="D8" s="171">
        <f>IF(E10="NO APLICA","NO APLICA",IF(E11="NO SE REPORTA","SIN INFORMACION",+G117))</f>
        <v>0.46377860707037832</v>
      </c>
      <c r="E8" s="168"/>
      <c r="F8" s="5" t="s">
        <v>129</v>
      </c>
      <c r="G8" s="5"/>
      <c r="H8" s="5"/>
      <c r="I8" s="66"/>
      <c r="J8" s="5"/>
      <c r="K8" s="5"/>
    </row>
    <row r="9" spans="1:21">
      <c r="B9" s="300" t="s">
        <v>1181</v>
      </c>
      <c r="C9" s="67"/>
      <c r="D9" s="5"/>
      <c r="E9" s="5"/>
      <c r="F9" s="5"/>
      <c r="G9" s="5"/>
      <c r="H9" s="5"/>
      <c r="I9" s="66"/>
      <c r="J9" s="5"/>
      <c r="K9" s="5"/>
    </row>
    <row r="10" spans="1:21">
      <c r="B10" s="1429" t="s">
        <v>1236</v>
      </c>
      <c r="C10" s="1429"/>
      <c r="D10" s="1429"/>
      <c r="E10" s="303" t="s">
        <v>1233</v>
      </c>
      <c r="F10" s="1436"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437"/>
      <c r="H10" s="1437"/>
      <c r="I10" s="1437"/>
      <c r="J10" s="1437"/>
      <c r="K10" s="1437"/>
      <c r="L10" s="1437"/>
      <c r="M10" s="1437"/>
      <c r="N10" s="1437"/>
      <c r="O10" s="1437"/>
      <c r="P10" s="1437"/>
      <c r="Q10" s="1437"/>
      <c r="R10" s="1437"/>
      <c r="S10" s="1437"/>
      <c r="T10" s="5"/>
      <c r="U10" s="5"/>
    </row>
    <row r="11" spans="1:21" ht="14.4" customHeight="1">
      <c r="B11" s="302"/>
      <c r="C11" s="67"/>
      <c r="D11" s="144" t="str">
        <f>IF(E10="SI APLICA","¿El indicador no se reporta por limitaciones de información disponible? ","")</f>
        <v xml:space="preserve">¿El indicador no se reporta por limitaciones de información disponible? </v>
      </c>
      <c r="E11" s="304" t="s">
        <v>1235</v>
      </c>
      <c r="F11" s="1430"/>
      <c r="G11" s="1431"/>
      <c r="H11" s="1431"/>
      <c r="I11" s="1431"/>
      <c r="J11" s="1431"/>
      <c r="K11" s="1431"/>
      <c r="L11" s="1431"/>
      <c r="M11" s="1431"/>
      <c r="N11" s="1431"/>
      <c r="O11" s="1431"/>
      <c r="P11" s="1431"/>
      <c r="Q11" s="1431"/>
      <c r="R11" s="1431"/>
      <c r="S11" s="1431"/>
    </row>
    <row r="12" spans="1:21" ht="23.4" customHeight="1">
      <c r="B12" s="300"/>
      <c r="C12" s="67"/>
      <c r="D12" s="144" t="str">
        <f>IF(E11="SI SE REPORTA","¿Qué programas o proyectos del Plan de Acción están asociados al indicador? ","")</f>
        <v xml:space="preserve">¿Qué programas o proyectos del Plan de Acción están asociados al indicador? </v>
      </c>
      <c r="E12" s="1560" t="s">
        <v>1948</v>
      </c>
      <c r="F12" s="1560"/>
      <c r="G12" s="1560"/>
      <c r="H12" s="1560"/>
      <c r="I12" s="1560"/>
      <c r="J12" s="1560"/>
      <c r="K12" s="1560"/>
      <c r="L12" s="1560"/>
      <c r="M12" s="1560"/>
      <c r="N12" s="1560"/>
      <c r="O12" s="1560"/>
      <c r="P12" s="1560"/>
      <c r="Q12" s="1560"/>
      <c r="R12" s="1560"/>
    </row>
    <row r="13" spans="1:21" ht="21.9" customHeight="1">
      <c r="B13" s="300"/>
      <c r="C13" s="67"/>
      <c r="D13" s="144" t="s">
        <v>1238</v>
      </c>
      <c r="E13" s="1433"/>
      <c r="F13" s="1434"/>
      <c r="G13" s="1434"/>
      <c r="H13" s="1434"/>
      <c r="I13" s="1434"/>
      <c r="J13" s="1434"/>
      <c r="K13" s="1434"/>
      <c r="L13" s="1434"/>
      <c r="M13" s="1434"/>
      <c r="N13" s="1434"/>
      <c r="O13" s="1434"/>
      <c r="P13" s="1434"/>
      <c r="Q13" s="1434"/>
      <c r="R13" s="1435"/>
    </row>
    <row r="14" spans="1:21" ht="6.9" customHeight="1" thickBot="1">
      <c r="B14" s="300"/>
      <c r="C14" s="67"/>
      <c r="D14" s="5"/>
      <c r="E14" s="5"/>
      <c r="F14" s="5"/>
      <c r="G14" s="5"/>
      <c r="H14" s="5"/>
      <c r="I14" s="66"/>
      <c r="J14" s="5"/>
      <c r="K14" s="5"/>
    </row>
    <row r="15" spans="1:21">
      <c r="B15" s="1459" t="s">
        <v>2</v>
      </c>
      <c r="C15" s="68"/>
      <c r="D15" s="1450" t="s">
        <v>3</v>
      </c>
      <c r="E15" s="1451"/>
      <c r="F15" s="1451"/>
      <c r="G15" s="1451"/>
      <c r="H15" s="1451"/>
      <c r="I15" s="1452"/>
      <c r="J15" s="5"/>
      <c r="K15" s="5"/>
    </row>
    <row r="16" spans="1:21">
      <c r="B16" s="1460"/>
      <c r="C16" s="71"/>
      <c r="D16" s="1667" t="s">
        <v>893</v>
      </c>
      <c r="E16" s="1668"/>
      <c r="F16" s="1668"/>
      <c r="G16" s="1668"/>
      <c r="H16" s="1668"/>
      <c r="I16" s="1669"/>
      <c r="J16" s="5"/>
      <c r="K16" s="5"/>
    </row>
    <row r="17" spans="2:11" ht="15" thickBot="1">
      <c r="B17" s="1460"/>
      <c r="C17" s="71"/>
      <c r="D17" s="1441"/>
      <c r="E17" s="1442"/>
      <c r="F17" s="1442"/>
      <c r="G17" s="1442"/>
      <c r="H17" s="1442"/>
      <c r="I17" s="1443"/>
      <c r="J17" s="5"/>
      <c r="K17" s="5"/>
    </row>
    <row r="18" spans="2:11" ht="24.6" thickBot="1">
      <c r="B18" s="1460"/>
      <c r="C18" s="73"/>
      <c r="D18" s="34" t="s">
        <v>2041</v>
      </c>
      <c r="E18" s="547">
        <v>60</v>
      </c>
      <c r="F18" s="5"/>
      <c r="G18" s="5"/>
      <c r="H18" s="5"/>
      <c r="I18" s="260"/>
      <c r="J18" s="5"/>
      <c r="K18" s="5"/>
    </row>
    <row r="19" spans="2:11" ht="36.6" thickBot="1">
      <c r="B19" s="1460"/>
      <c r="C19" s="73"/>
      <c r="D19" s="32" t="s">
        <v>894</v>
      </c>
      <c r="E19" s="547">
        <v>60</v>
      </c>
      <c r="F19" s="5"/>
      <c r="G19" s="5"/>
      <c r="H19" s="5"/>
      <c r="I19" s="260"/>
      <c r="J19" s="5"/>
      <c r="K19" s="5"/>
    </row>
    <row r="20" spans="2:11" ht="15" thickBot="1">
      <c r="B20" s="1460"/>
      <c r="C20" s="71"/>
      <c r="D20" s="1472"/>
      <c r="E20" s="1473"/>
      <c r="F20" s="1473"/>
      <c r="G20" s="1473"/>
      <c r="H20" s="1473"/>
      <c r="I20" s="1474"/>
      <c r="J20" s="5"/>
      <c r="K20" s="5"/>
    </row>
    <row r="21" spans="2:11" ht="15" thickBot="1">
      <c r="B21" s="1460"/>
      <c r="C21" s="73"/>
      <c r="D21" s="34" t="s">
        <v>149</v>
      </c>
      <c r="E21" s="30" t="s">
        <v>19</v>
      </c>
      <c r="F21" s="30" t="s">
        <v>20</v>
      </c>
      <c r="G21" s="30" t="s">
        <v>21</v>
      </c>
      <c r="H21" s="30" t="s">
        <v>22</v>
      </c>
      <c r="I21" s="69" t="s">
        <v>150</v>
      </c>
      <c r="J21" s="5"/>
      <c r="K21" s="5"/>
    </row>
    <row r="22" spans="2:11" ht="36.75" customHeight="1" thickBot="1">
      <c r="B22" s="1460"/>
      <c r="C22" s="73"/>
      <c r="D22" s="32" t="s">
        <v>895</v>
      </c>
      <c r="E22" s="547">
        <v>55</v>
      </c>
      <c r="F22" s="547">
        <v>52</v>
      </c>
      <c r="G22" s="547">
        <v>55</v>
      </c>
      <c r="H22" s="547">
        <v>60</v>
      </c>
      <c r="I22" s="549">
        <f>SUM(E22:H22)</f>
        <v>222</v>
      </c>
      <c r="J22" s="5"/>
      <c r="K22" s="5"/>
    </row>
    <row r="23" spans="2:11" ht="30.75" customHeight="1" thickBot="1">
      <c r="B23" s="1460"/>
      <c r="C23" s="73"/>
      <c r="D23" s="32" t="s">
        <v>896</v>
      </c>
      <c r="E23" s="547">
        <v>36</v>
      </c>
      <c r="F23" s="547">
        <v>52</v>
      </c>
      <c r="G23" s="547">
        <v>55</v>
      </c>
      <c r="H23" s="547">
        <v>40</v>
      </c>
      <c r="I23" s="549">
        <f>SUM(E23:H23)</f>
        <v>183</v>
      </c>
      <c r="J23" s="5"/>
      <c r="K23" s="5"/>
    </row>
    <row r="24" spans="2:11" ht="24.6" thickBot="1">
      <c r="B24" s="1460"/>
      <c r="C24" s="73"/>
      <c r="D24" s="32" t="s">
        <v>897</v>
      </c>
      <c r="E24" s="490">
        <f>+E23/E22</f>
        <v>0.65454545454545454</v>
      </c>
      <c r="F24" s="490">
        <f>+F23/F22</f>
        <v>1</v>
      </c>
      <c r="G24" s="490">
        <f>+G23/G22</f>
        <v>1</v>
      </c>
      <c r="H24" s="490">
        <f>+H23/H22</f>
        <v>0.66666666666666663</v>
      </c>
      <c r="I24" s="490">
        <f>+I23/I22</f>
        <v>0.82432432432432434</v>
      </c>
      <c r="J24" s="5"/>
      <c r="K24" s="5"/>
    </row>
    <row r="25" spans="2:11">
      <c r="B25" s="1460"/>
      <c r="C25" s="71"/>
      <c r="D25" s="1450" t="s">
        <v>898</v>
      </c>
      <c r="E25" s="1451"/>
      <c r="F25" s="1451"/>
      <c r="G25" s="1451"/>
      <c r="H25" s="1451"/>
      <c r="I25" s="1452"/>
      <c r="J25" s="5"/>
      <c r="K25" s="5"/>
    </row>
    <row r="26" spans="2:11" ht="15" thickBot="1">
      <c r="B26" s="1460"/>
      <c r="C26" s="71"/>
      <c r="D26" s="1441"/>
      <c r="E26" s="1442"/>
      <c r="F26" s="1442"/>
      <c r="G26" s="1442"/>
      <c r="H26" s="1442"/>
      <c r="I26" s="1443"/>
      <c r="J26" s="5"/>
      <c r="K26" s="5"/>
    </row>
    <row r="27" spans="2:11" ht="24">
      <c r="B27" s="1460"/>
      <c r="C27" s="73"/>
      <c r="D27" s="1670" t="s">
        <v>899</v>
      </c>
      <c r="E27" s="1625" t="s">
        <v>900</v>
      </c>
      <c r="F27" s="1625" t="s">
        <v>901</v>
      </c>
      <c r="G27" s="1625" t="s">
        <v>902</v>
      </c>
      <c r="H27" s="156" t="s">
        <v>903</v>
      </c>
      <c r="I27" s="260"/>
      <c r="J27" s="5"/>
      <c r="K27" s="5"/>
    </row>
    <row r="28" spans="2:11" ht="15" thickBot="1">
      <c r="B28" s="1460"/>
      <c r="C28" s="73"/>
      <c r="D28" s="1671"/>
      <c r="E28" s="1627"/>
      <c r="F28" s="1627"/>
      <c r="G28" s="1627"/>
      <c r="H28" s="157" t="s">
        <v>904</v>
      </c>
      <c r="I28" s="260"/>
      <c r="J28" s="5"/>
      <c r="K28" s="5"/>
    </row>
    <row r="29" spans="2:11" ht="15" thickBot="1">
      <c r="B29" s="1460"/>
      <c r="C29" s="73"/>
      <c r="D29" s="25" t="s">
        <v>2813</v>
      </c>
      <c r="E29" s="119">
        <v>60</v>
      </c>
      <c r="F29" s="119">
        <v>60</v>
      </c>
      <c r="G29" s="119">
        <v>60</v>
      </c>
      <c r="H29" s="119">
        <v>40</v>
      </c>
      <c r="I29" s="260"/>
      <c r="J29" s="5"/>
      <c r="K29" s="5"/>
    </row>
    <row r="30" spans="2:11" ht="15" thickBot="1">
      <c r="B30" s="1460"/>
      <c r="C30" s="73"/>
      <c r="D30" s="25"/>
      <c r="E30" s="119"/>
      <c r="F30" s="119"/>
      <c r="G30" s="119"/>
      <c r="H30" s="119"/>
      <c r="I30" s="260"/>
      <c r="J30" s="5"/>
      <c r="K30" s="5"/>
    </row>
    <row r="31" spans="2:11" ht="15" thickBot="1">
      <c r="B31" s="1460"/>
      <c r="C31" s="73"/>
      <c r="D31" s="25"/>
      <c r="E31" s="119"/>
      <c r="F31" s="119"/>
      <c r="G31" s="119"/>
      <c r="H31" s="119"/>
      <c r="I31" s="260"/>
      <c r="J31" s="5"/>
      <c r="K31" s="5"/>
    </row>
    <row r="32" spans="2:11" ht="15" thickBot="1">
      <c r="B32" s="1460"/>
      <c r="C32" s="73"/>
      <c r="D32" s="24"/>
      <c r="E32" s="119"/>
      <c r="F32" s="119"/>
      <c r="G32" s="119"/>
      <c r="H32" s="119"/>
      <c r="I32" s="260"/>
      <c r="J32" s="5"/>
      <c r="K32" s="5"/>
    </row>
    <row r="33" spans="2:11" ht="15" thickBot="1">
      <c r="B33" s="1460"/>
      <c r="C33" s="73"/>
      <c r="D33" s="25"/>
      <c r="E33" s="119"/>
      <c r="F33" s="119"/>
      <c r="G33" s="119"/>
      <c r="H33" s="119"/>
      <c r="I33" s="260"/>
      <c r="J33" s="5"/>
      <c r="K33" s="5"/>
    </row>
    <row r="34" spans="2:11" ht="15" thickBot="1">
      <c r="B34" s="1460"/>
      <c r="C34" s="73"/>
      <c r="D34" s="25"/>
      <c r="E34" s="119"/>
      <c r="F34" s="119"/>
      <c r="G34" s="119"/>
      <c r="H34" s="119"/>
      <c r="I34" s="260"/>
      <c r="J34" s="5"/>
      <c r="K34" s="5"/>
    </row>
    <row r="35" spans="2:11" ht="15" thickBot="1">
      <c r="B35" s="1460"/>
      <c r="C35" s="73"/>
      <c r="D35" s="25"/>
      <c r="E35" s="119"/>
      <c r="F35" s="119"/>
      <c r="G35" s="119"/>
      <c r="H35" s="119"/>
      <c r="I35" s="260"/>
      <c r="J35" s="5"/>
      <c r="K35" s="5"/>
    </row>
    <row r="36" spans="2:11" ht="15" thickBot="1">
      <c r="B36" s="1460"/>
      <c r="C36" s="73"/>
      <c r="D36" s="32" t="s">
        <v>150</v>
      </c>
      <c r="E36" s="261">
        <f>SUM(E29:E35)</f>
        <v>60</v>
      </c>
      <c r="F36" s="261">
        <f>SUM(F29:F35)</f>
        <v>60</v>
      </c>
      <c r="G36" s="261">
        <f>SUM(G29:G35)</f>
        <v>60</v>
      </c>
      <c r="H36" s="261">
        <f>SUM(H29:H35)</f>
        <v>40</v>
      </c>
      <c r="I36" s="260"/>
      <c r="J36" s="5"/>
      <c r="K36" s="5"/>
    </row>
    <row r="37" spans="2:11">
      <c r="B37" s="1460"/>
      <c r="C37" s="71"/>
      <c r="D37" s="1441"/>
      <c r="E37" s="1442"/>
      <c r="F37" s="1442"/>
      <c r="G37" s="1442"/>
      <c r="H37" s="1442"/>
      <c r="I37" s="1443"/>
      <c r="J37" s="5"/>
      <c r="K37" s="5"/>
    </row>
    <row r="38" spans="2:11">
      <c r="B38" s="1460"/>
      <c r="C38" s="71"/>
      <c r="D38" s="1667" t="s">
        <v>905</v>
      </c>
      <c r="E38" s="1668"/>
      <c r="F38" s="1668"/>
      <c r="G38" s="1668"/>
      <c r="H38" s="1668"/>
      <c r="I38" s="1669"/>
      <c r="J38" s="5"/>
      <c r="K38" s="5"/>
    </row>
    <row r="39" spans="2:11" ht="15" thickBot="1">
      <c r="B39" s="1460"/>
      <c r="C39" s="71"/>
      <c r="D39" s="1441"/>
      <c r="E39" s="1442"/>
      <c r="F39" s="1442"/>
      <c r="G39" s="1442"/>
      <c r="H39" s="1442"/>
      <c r="I39" s="1443"/>
      <c r="J39" s="5"/>
      <c r="K39" s="5"/>
    </row>
    <row r="40" spans="2:11" ht="15" thickBot="1">
      <c r="B40" s="1460"/>
      <c r="C40" s="73"/>
      <c r="D40" s="34" t="s">
        <v>149</v>
      </c>
      <c r="E40" s="30" t="s">
        <v>906</v>
      </c>
      <c r="F40" s="5"/>
      <c r="G40" s="5"/>
      <c r="H40" s="5"/>
      <c r="I40" s="260"/>
      <c r="J40" s="5"/>
      <c r="K40" s="5"/>
    </row>
    <row r="41" spans="2:11" ht="15" thickBot="1">
      <c r="B41" s="1460"/>
      <c r="C41" s="73"/>
      <c r="D41" s="32" t="s">
        <v>2042</v>
      </c>
      <c r="E41" s="548">
        <v>188</v>
      </c>
      <c r="F41" s="5"/>
      <c r="G41" s="5"/>
      <c r="H41" s="5"/>
      <c r="I41" s="260"/>
      <c r="J41" s="5"/>
      <c r="K41" s="5"/>
    </row>
    <row r="42" spans="2:11" ht="24.6" thickBot="1">
      <c r="B42" s="1460"/>
      <c r="C42" s="73"/>
      <c r="D42" s="32" t="s">
        <v>2043</v>
      </c>
      <c r="E42" s="900">
        <v>188</v>
      </c>
      <c r="F42" s="5"/>
      <c r="G42" s="5"/>
      <c r="H42" s="5"/>
      <c r="I42" s="260"/>
      <c r="J42" s="5"/>
      <c r="K42" s="5"/>
    </row>
    <row r="43" spans="2:11" ht="24.6" thickBot="1">
      <c r="B43" s="1460"/>
      <c r="C43" s="73"/>
      <c r="D43" s="32" t="s">
        <v>2044</v>
      </c>
      <c r="E43" s="900">
        <v>188</v>
      </c>
      <c r="F43" s="5"/>
      <c r="G43" s="5"/>
      <c r="H43" s="5"/>
      <c r="I43" s="260"/>
      <c r="J43" s="5"/>
      <c r="K43" s="5"/>
    </row>
    <row r="44" spans="2:11">
      <c r="B44" s="1460"/>
      <c r="C44" s="71"/>
      <c r="D44" s="1441"/>
      <c r="E44" s="1442"/>
      <c r="F44" s="1442"/>
      <c r="G44" s="1442"/>
      <c r="H44" s="1442"/>
      <c r="I44" s="1443"/>
      <c r="J44" s="5"/>
      <c r="K44" s="5"/>
    </row>
    <row r="45" spans="2:11">
      <c r="B45" s="1460"/>
      <c r="C45" s="71"/>
      <c r="D45" s="1441" t="s">
        <v>907</v>
      </c>
      <c r="E45" s="1442"/>
      <c r="F45" s="1442"/>
      <c r="G45" s="1442"/>
      <c r="H45" s="1442"/>
      <c r="I45" s="1443"/>
      <c r="J45" s="5"/>
      <c r="K45" s="5"/>
    </row>
    <row r="46" spans="2:11" ht="15" thickBot="1">
      <c r="B46" s="1460"/>
      <c r="C46" s="71"/>
      <c r="D46" s="1472"/>
      <c r="E46" s="1473"/>
      <c r="F46" s="1473"/>
      <c r="G46" s="1473"/>
      <c r="H46" s="1473"/>
      <c r="I46" s="1474"/>
      <c r="J46" s="5"/>
      <c r="K46" s="5"/>
    </row>
    <row r="47" spans="2:11" ht="15" thickBot="1">
      <c r="B47" s="1460"/>
      <c r="C47" s="73"/>
      <c r="D47" s="34" t="s">
        <v>149</v>
      </c>
      <c r="E47" s="30" t="s">
        <v>19</v>
      </c>
      <c r="F47" s="30" t="s">
        <v>20</v>
      </c>
      <c r="G47" s="30" t="s">
        <v>21</v>
      </c>
      <c r="H47" s="30" t="s">
        <v>22</v>
      </c>
      <c r="I47" s="69" t="s">
        <v>150</v>
      </c>
      <c r="J47" s="5"/>
      <c r="K47" s="5"/>
    </row>
    <row r="48" spans="2:11" ht="24.6" thickBot="1">
      <c r="B48" s="1460"/>
      <c r="C48" s="73"/>
      <c r="D48" s="32" t="s">
        <v>908</v>
      </c>
      <c r="E48" s="547">
        <v>39</v>
      </c>
      <c r="F48" s="547">
        <v>170</v>
      </c>
      <c r="G48" s="547">
        <v>180</v>
      </c>
      <c r="H48" s="547">
        <v>188</v>
      </c>
      <c r="I48" s="550">
        <f>SUM(E48:H48)</f>
        <v>577</v>
      </c>
      <c r="J48" s="5"/>
      <c r="K48" s="5"/>
    </row>
    <row r="49" spans="2:11" ht="24.6" thickBot="1">
      <c r="B49" s="1460"/>
      <c r="C49" s="73"/>
      <c r="D49" s="32" t="s">
        <v>909</v>
      </c>
      <c r="E49" s="547">
        <v>34</v>
      </c>
      <c r="F49" s="547">
        <v>163</v>
      </c>
      <c r="G49" s="547">
        <v>144</v>
      </c>
      <c r="H49" s="547">
        <v>102</v>
      </c>
      <c r="I49" s="550">
        <f>SUM(E49:H49)</f>
        <v>443</v>
      </c>
      <c r="J49" s="5"/>
      <c r="K49" s="5"/>
    </row>
    <row r="50" spans="2:11" ht="24.6" thickBot="1">
      <c r="B50" s="1460"/>
      <c r="C50" s="73"/>
      <c r="D50" s="32" t="s">
        <v>910</v>
      </c>
      <c r="E50" s="148">
        <f>+E49/E48</f>
        <v>0.87179487179487181</v>
      </c>
      <c r="F50" s="148">
        <f>+F49/F48</f>
        <v>0.95882352941176474</v>
      </c>
      <c r="G50" s="148">
        <f>+G49/G48</f>
        <v>0.8</v>
      </c>
      <c r="H50" s="148">
        <f>+H49/H48</f>
        <v>0.54255319148936165</v>
      </c>
      <c r="I50" s="148">
        <f>+I49/I48</f>
        <v>0.76776429809358748</v>
      </c>
      <c r="J50" s="5"/>
      <c r="K50" s="5"/>
    </row>
    <row r="51" spans="2:11">
      <c r="B51" s="1460"/>
      <c r="C51" s="71"/>
      <c r="D51" s="1450"/>
      <c r="E51" s="1451"/>
      <c r="F51" s="1451"/>
      <c r="G51" s="1451"/>
      <c r="H51" s="1451"/>
      <c r="I51" s="1452"/>
      <c r="J51" s="5"/>
      <c r="K51" s="5"/>
    </row>
    <row r="52" spans="2:11">
      <c r="B52" s="1460"/>
      <c r="C52" s="71"/>
      <c r="D52" s="1441" t="s">
        <v>911</v>
      </c>
      <c r="E52" s="1442"/>
      <c r="F52" s="1442"/>
      <c r="G52" s="1442"/>
      <c r="H52" s="1442"/>
      <c r="I52" s="1443"/>
      <c r="J52" s="5"/>
      <c r="K52" s="5"/>
    </row>
    <row r="53" spans="2:11" ht="15" thickBot="1">
      <c r="B53" s="1460"/>
      <c r="C53" s="71"/>
      <c r="D53" s="1726" t="s">
        <v>1886</v>
      </c>
      <c r="E53" s="1727"/>
      <c r="F53" s="1727"/>
      <c r="G53" s="1727"/>
      <c r="H53" s="1727"/>
      <c r="I53" s="1728"/>
      <c r="J53" s="5"/>
      <c r="K53" s="5"/>
    </row>
    <row r="54" spans="2:11" ht="15" thickBot="1">
      <c r="B54" s="1460"/>
      <c r="C54" s="73"/>
      <c r="D54" s="34" t="s">
        <v>149</v>
      </c>
      <c r="E54" s="30" t="s">
        <v>19</v>
      </c>
      <c r="F54" s="30" t="s">
        <v>20</v>
      </c>
      <c r="G54" s="30" t="s">
        <v>21</v>
      </c>
      <c r="H54" s="30" t="s">
        <v>22</v>
      </c>
      <c r="I54" s="69" t="s">
        <v>150</v>
      </c>
      <c r="J54" s="5"/>
      <c r="K54" s="5"/>
    </row>
    <row r="55" spans="2:11" ht="24.6" thickBot="1">
      <c r="B55" s="1460"/>
      <c r="C55" s="73"/>
      <c r="D55" s="32" t="s">
        <v>912</v>
      </c>
      <c r="E55" s="547"/>
      <c r="F55" s="547"/>
      <c r="G55" s="119"/>
      <c r="H55" s="119"/>
      <c r="I55" s="550">
        <f>SUM(E55:H55)</f>
        <v>0</v>
      </c>
      <c r="J55" s="5"/>
      <c r="K55" s="5"/>
    </row>
    <row r="56" spans="2:11" ht="15" thickBot="1">
      <c r="B56" s="1460"/>
      <c r="C56" s="73"/>
      <c r="D56" s="32" t="s">
        <v>913</v>
      </c>
      <c r="E56" s="547"/>
      <c r="F56" s="547"/>
      <c r="G56" s="119"/>
      <c r="H56" s="119"/>
      <c r="I56" s="550">
        <f>SUM(E56:H56)</f>
        <v>0</v>
      </c>
      <c r="J56" s="5"/>
      <c r="K56" s="5"/>
    </row>
    <row r="57" spans="2:11" ht="24.6" thickBot="1">
      <c r="B57" s="1460"/>
      <c r="C57" s="73"/>
      <c r="D57" s="32" t="s">
        <v>914</v>
      </c>
      <c r="E57" s="148" t="e">
        <f>+E56/E55</f>
        <v>#DIV/0!</v>
      </c>
      <c r="F57" s="148" t="e">
        <f>+F56/F55</f>
        <v>#DIV/0!</v>
      </c>
      <c r="G57" s="148" t="e">
        <f>+G56/G55</f>
        <v>#DIV/0!</v>
      </c>
      <c r="H57" s="148" t="e">
        <f>+H56/H55</f>
        <v>#DIV/0!</v>
      </c>
      <c r="I57" s="148" t="e">
        <f>+I56/I55</f>
        <v>#DIV/0!</v>
      </c>
      <c r="J57" s="5"/>
      <c r="K57" s="5"/>
    </row>
    <row r="58" spans="2:11">
      <c r="B58" s="1460"/>
      <c r="C58" s="71"/>
      <c r="D58" s="1450"/>
      <c r="E58" s="1451"/>
      <c r="F58" s="1451"/>
      <c r="G58" s="1451"/>
      <c r="H58" s="1451"/>
      <c r="I58" s="1452"/>
      <c r="J58" s="5"/>
      <c r="K58" s="5"/>
    </row>
    <row r="59" spans="2:11">
      <c r="B59" s="1460"/>
      <c r="C59" s="71"/>
      <c r="D59" s="1667" t="s">
        <v>1223</v>
      </c>
      <c r="E59" s="1668"/>
      <c r="F59" s="1668"/>
      <c r="G59" s="1668"/>
      <c r="H59" s="1668"/>
      <c r="I59" s="1669"/>
      <c r="J59" s="5"/>
      <c r="K59" s="5"/>
    </row>
    <row r="60" spans="2:11" ht="15" thickBot="1">
      <c r="B60" s="1460"/>
      <c r="C60" s="71"/>
      <c r="D60" s="1441"/>
      <c r="E60" s="1442"/>
      <c r="F60" s="1442"/>
      <c r="G60" s="1442"/>
      <c r="H60" s="1442"/>
      <c r="I60" s="1443"/>
      <c r="J60" s="5"/>
      <c r="K60" s="5"/>
    </row>
    <row r="61" spans="2:11" ht="15" thickBot="1">
      <c r="B61" s="1460"/>
      <c r="C61" s="73"/>
      <c r="D61" s="34" t="s">
        <v>149</v>
      </c>
      <c r="E61" s="30" t="s">
        <v>906</v>
      </c>
      <c r="F61" s="5"/>
      <c r="G61" s="5"/>
      <c r="H61" s="5"/>
      <c r="I61" s="260"/>
      <c r="J61" s="5"/>
      <c r="K61" s="5"/>
    </row>
    <row r="62" spans="2:11" ht="24.6" thickBot="1">
      <c r="B62" s="1460"/>
      <c r="C62" s="73"/>
      <c r="D62" s="32" t="s">
        <v>2814</v>
      </c>
      <c r="E62" s="547">
        <v>152</v>
      </c>
      <c r="F62" s="5"/>
      <c r="G62" s="5"/>
      <c r="H62" s="5"/>
      <c r="I62" s="260"/>
      <c r="J62" s="5"/>
      <c r="K62" s="5"/>
    </row>
    <row r="63" spans="2:11" ht="24.6" thickBot="1">
      <c r="B63" s="1460"/>
      <c r="C63" s="73"/>
      <c r="D63" s="32" t="s">
        <v>2815</v>
      </c>
      <c r="E63" s="547">
        <v>152</v>
      </c>
      <c r="F63" s="5"/>
      <c r="G63" s="5"/>
      <c r="H63" s="5"/>
      <c r="I63" s="260"/>
      <c r="J63" s="5"/>
      <c r="K63" s="5"/>
    </row>
    <row r="64" spans="2:11" ht="15" thickBot="1">
      <c r="B64" s="1460"/>
      <c r="C64" s="73"/>
      <c r="D64" s="32" t="s">
        <v>2816</v>
      </c>
      <c r="E64" s="547">
        <v>152</v>
      </c>
      <c r="F64" s="5"/>
      <c r="G64" s="5"/>
      <c r="H64" s="5"/>
      <c r="I64" s="260"/>
      <c r="J64" s="5"/>
      <c r="K64" s="5"/>
    </row>
    <row r="65" spans="2:11">
      <c r="B65" s="1460"/>
      <c r="C65" s="71"/>
      <c r="D65" s="1441"/>
      <c r="E65" s="1442"/>
      <c r="F65" s="1442"/>
      <c r="G65" s="1442"/>
      <c r="H65" s="1442"/>
      <c r="I65" s="1443"/>
      <c r="J65" s="5"/>
      <c r="K65" s="5"/>
    </row>
    <row r="66" spans="2:11">
      <c r="B66" s="1460"/>
      <c r="C66" s="71"/>
      <c r="D66" s="1441" t="s">
        <v>915</v>
      </c>
      <c r="E66" s="1442"/>
      <c r="F66" s="1442"/>
      <c r="G66" s="1442"/>
      <c r="H66" s="1442"/>
      <c r="I66" s="1443"/>
      <c r="J66" s="5"/>
      <c r="K66" s="5"/>
    </row>
    <row r="67" spans="2:11" ht="15" thickBot="1">
      <c r="B67" s="1460"/>
      <c r="C67" s="71"/>
      <c r="D67" s="1472"/>
      <c r="E67" s="1473"/>
      <c r="F67" s="1473"/>
      <c r="G67" s="1473"/>
      <c r="H67" s="1473"/>
      <c r="I67" s="1474"/>
      <c r="J67" s="5"/>
      <c r="K67" s="5"/>
    </row>
    <row r="68" spans="2:11" ht="15" thickBot="1">
      <c r="B68" s="1460"/>
      <c r="C68" s="73"/>
      <c r="D68" s="34" t="s">
        <v>149</v>
      </c>
      <c r="E68" s="30" t="s">
        <v>19</v>
      </c>
      <c r="F68" s="30" t="s">
        <v>20</v>
      </c>
      <c r="G68" s="30" t="s">
        <v>21</v>
      </c>
      <c r="H68" s="30" t="s">
        <v>22</v>
      </c>
      <c r="I68" s="69" t="s">
        <v>150</v>
      </c>
      <c r="J68" s="5"/>
      <c r="K68" s="5"/>
    </row>
    <row r="69" spans="2:11" ht="24.6" thickBot="1">
      <c r="B69" s="1460"/>
      <c r="C69" s="73"/>
      <c r="D69" s="32" t="s">
        <v>916</v>
      </c>
      <c r="E69" s="547">
        <v>35</v>
      </c>
      <c r="F69" s="547">
        <v>137</v>
      </c>
      <c r="G69" s="547">
        <v>142</v>
      </c>
      <c r="H69" s="547">
        <v>152</v>
      </c>
      <c r="I69" s="550">
        <f>SUM(E69:H69)</f>
        <v>466</v>
      </c>
      <c r="J69" s="5"/>
      <c r="K69" s="5"/>
    </row>
    <row r="70" spans="2:11" ht="24.6" thickBot="1">
      <c r="B70" s="1460"/>
      <c r="C70" s="73"/>
      <c r="D70" s="32" t="s">
        <v>917</v>
      </c>
      <c r="E70" s="547">
        <v>36</v>
      </c>
      <c r="F70" s="547">
        <v>121</v>
      </c>
      <c r="G70" s="547">
        <v>110</v>
      </c>
      <c r="H70" s="547">
        <v>65</v>
      </c>
      <c r="I70" s="550">
        <f>SUM(E70:H70)</f>
        <v>332</v>
      </c>
      <c r="J70" s="5"/>
      <c r="K70" s="5"/>
    </row>
    <row r="71" spans="2:11" ht="24.6" thickBot="1">
      <c r="B71" s="1460"/>
      <c r="C71" s="73"/>
      <c r="D71" s="32" t="s">
        <v>918</v>
      </c>
      <c r="E71" s="490">
        <f>+E70/E69</f>
        <v>1.0285714285714285</v>
      </c>
      <c r="F71" s="490">
        <f>+F70/F69</f>
        <v>0.88321167883211682</v>
      </c>
      <c r="G71" s="490">
        <f>+G70/G69</f>
        <v>0.77464788732394363</v>
      </c>
      <c r="H71" s="490">
        <f>+H70/H69</f>
        <v>0.42763157894736842</v>
      </c>
      <c r="I71" s="490">
        <f>+I70/I69</f>
        <v>0.71244635193133043</v>
      </c>
      <c r="J71" s="5"/>
      <c r="K71" s="5"/>
    </row>
    <row r="72" spans="2:11" ht="15" thickBot="1">
      <c r="B72" s="1460"/>
      <c r="C72" s="80"/>
      <c r="D72" s="107"/>
      <c r="E72" s="262"/>
      <c r="F72" s="262"/>
      <c r="G72" s="262"/>
      <c r="H72" s="262"/>
      <c r="I72" s="263"/>
      <c r="J72" s="5"/>
      <c r="K72" s="5"/>
    </row>
    <row r="73" spans="2:11">
      <c r="B73" s="1460"/>
      <c r="C73" s="71"/>
      <c r="D73" s="1450" t="s">
        <v>919</v>
      </c>
      <c r="E73" s="1451"/>
      <c r="F73" s="1451"/>
      <c r="G73" s="1451"/>
      <c r="H73" s="1451"/>
      <c r="I73" s="1452"/>
      <c r="J73" s="5"/>
      <c r="K73" s="5"/>
    </row>
    <row r="74" spans="2:11" ht="15" thickBot="1">
      <c r="B74" s="1460"/>
      <c r="C74" s="71"/>
      <c r="D74" s="1726" t="s">
        <v>1886</v>
      </c>
      <c r="E74" s="1727"/>
      <c r="F74" s="1727"/>
      <c r="G74" s="1727"/>
      <c r="H74" s="1727"/>
      <c r="I74" s="1728"/>
      <c r="J74" s="5"/>
      <c r="K74" s="5"/>
    </row>
    <row r="75" spans="2:11" ht="15" thickBot="1">
      <c r="B75" s="1460"/>
      <c r="C75" s="73"/>
      <c r="D75" s="34" t="s">
        <v>149</v>
      </c>
      <c r="E75" s="30" t="s">
        <v>19</v>
      </c>
      <c r="F75" s="30" t="s">
        <v>20</v>
      </c>
      <c r="G75" s="30" t="s">
        <v>21</v>
      </c>
      <c r="H75" s="30" t="s">
        <v>22</v>
      </c>
      <c r="I75" s="69" t="s">
        <v>150</v>
      </c>
      <c r="J75" s="5"/>
      <c r="K75" s="5"/>
    </row>
    <row r="76" spans="2:11" ht="24.6" thickBot="1">
      <c r="B76" s="1460"/>
      <c r="C76" s="73"/>
      <c r="D76" s="32" t="s">
        <v>920</v>
      </c>
      <c r="E76" s="547"/>
      <c r="F76" s="547"/>
      <c r="G76" s="547"/>
      <c r="H76" s="547"/>
      <c r="I76" s="550">
        <f>SUM(E76:H76)</f>
        <v>0</v>
      </c>
      <c r="J76" s="5"/>
      <c r="K76" s="5"/>
    </row>
    <row r="77" spans="2:11" ht="24.6" thickBot="1">
      <c r="B77" s="1460"/>
      <c r="C77" s="73"/>
      <c r="D77" s="32" t="s">
        <v>921</v>
      </c>
      <c r="E77" s="547"/>
      <c r="F77" s="547"/>
      <c r="G77" s="547"/>
      <c r="H77" s="547"/>
      <c r="I77" s="550">
        <f>SUM(E77:H77)</f>
        <v>0</v>
      </c>
      <c r="J77" s="5"/>
      <c r="K77" s="5"/>
    </row>
    <row r="78" spans="2:11" ht="24.6" thickBot="1">
      <c r="B78" s="1460"/>
      <c r="C78" s="73"/>
      <c r="D78" s="32" t="s">
        <v>922</v>
      </c>
      <c r="E78" s="490" t="e">
        <f>+E77/E76</f>
        <v>#DIV/0!</v>
      </c>
      <c r="F78" s="490" t="e">
        <f>+F77/F76</f>
        <v>#DIV/0!</v>
      </c>
      <c r="G78" s="490" t="e">
        <f>+G77/G76</f>
        <v>#DIV/0!</v>
      </c>
      <c r="H78" s="490" t="e">
        <f>+H77/H76</f>
        <v>#DIV/0!</v>
      </c>
      <c r="I78" s="490" t="e">
        <f>+I77/I76</f>
        <v>#DIV/0!</v>
      </c>
      <c r="J78" s="5"/>
      <c r="K78" s="5"/>
    </row>
    <row r="79" spans="2:11">
      <c r="B79" s="1460"/>
      <c r="C79" s="71"/>
      <c r="D79" s="1450"/>
      <c r="E79" s="1451"/>
      <c r="F79" s="1451"/>
      <c r="G79" s="1451"/>
      <c r="H79" s="1451"/>
      <c r="I79" s="1452"/>
      <c r="J79" s="5"/>
      <c r="K79" s="5"/>
    </row>
    <row r="80" spans="2:11" ht="15" thickBot="1">
      <c r="B80" s="1460"/>
      <c r="C80" s="71"/>
      <c r="D80" s="1667" t="s">
        <v>923</v>
      </c>
      <c r="E80" s="1668"/>
      <c r="F80" s="1668"/>
      <c r="G80" s="1668"/>
      <c r="H80" s="1668"/>
      <c r="I80" s="1669"/>
      <c r="J80" s="5"/>
      <c r="K80" s="5"/>
    </row>
    <row r="81" spans="2:11" ht="15" thickBot="1">
      <c r="B81" s="1460"/>
      <c r="C81" s="73"/>
      <c r="D81" s="34" t="s">
        <v>149</v>
      </c>
      <c r="E81" s="30" t="s">
        <v>906</v>
      </c>
      <c r="F81" s="5"/>
      <c r="G81" s="5"/>
      <c r="H81" s="5"/>
      <c r="I81" s="260"/>
      <c r="J81" s="5"/>
      <c r="K81" s="5"/>
    </row>
    <row r="82" spans="2:11" ht="24.6" thickBot="1">
      <c r="B82" s="1460"/>
      <c r="C82" s="73"/>
      <c r="D82" s="32" t="s">
        <v>2045</v>
      </c>
      <c r="E82" s="547">
        <v>108</v>
      </c>
      <c r="F82" s="5"/>
      <c r="G82" s="5"/>
      <c r="H82" s="5"/>
      <c r="I82" s="260"/>
      <c r="J82" s="5"/>
      <c r="K82" s="5"/>
    </row>
    <row r="83" spans="2:11" ht="24.6" thickBot="1">
      <c r="B83" s="1460"/>
      <c r="C83" s="73"/>
      <c r="D83" s="32" t="s">
        <v>2046</v>
      </c>
      <c r="E83" s="547">
        <v>108</v>
      </c>
      <c r="F83" s="5"/>
      <c r="G83" s="5"/>
      <c r="H83" s="5"/>
      <c r="I83" s="260"/>
      <c r="J83" s="5"/>
      <c r="K83" s="5"/>
    </row>
    <row r="84" spans="2:11">
      <c r="B84" s="1460"/>
      <c r="C84" s="71"/>
      <c r="D84" s="1441"/>
      <c r="E84" s="1442"/>
      <c r="F84" s="1442"/>
      <c r="G84" s="1442"/>
      <c r="H84" s="1442"/>
      <c r="I84" s="1443"/>
      <c r="J84" s="5"/>
      <c r="K84" s="5"/>
    </row>
    <row r="85" spans="2:11" ht="15" thickBot="1">
      <c r="B85" s="1460"/>
      <c r="C85" s="71"/>
      <c r="D85" s="1472" t="s">
        <v>924</v>
      </c>
      <c r="E85" s="1473"/>
      <c r="F85" s="1473"/>
      <c r="G85" s="1473"/>
      <c r="H85" s="1473"/>
      <c r="I85" s="1474"/>
      <c r="J85" s="5"/>
      <c r="K85" s="5"/>
    </row>
    <row r="86" spans="2:11" ht="15" thickBot="1">
      <c r="B86" s="1460"/>
      <c r="C86" s="73"/>
      <c r="D86" s="34" t="s">
        <v>149</v>
      </c>
      <c r="E86" s="30" t="s">
        <v>19</v>
      </c>
      <c r="F86" s="30" t="s">
        <v>20</v>
      </c>
      <c r="G86" s="30" t="s">
        <v>21</v>
      </c>
      <c r="H86" s="30" t="s">
        <v>22</v>
      </c>
      <c r="I86" s="69" t="s">
        <v>150</v>
      </c>
      <c r="J86" s="5"/>
      <c r="K86" s="5"/>
    </row>
    <row r="87" spans="2:11" ht="36.6" thickBot="1">
      <c r="B87" s="1460"/>
      <c r="C87" s="73"/>
      <c r="D87" s="32" t="s">
        <v>925</v>
      </c>
      <c r="E87" s="547">
        <v>60</v>
      </c>
      <c r="F87" s="547">
        <v>93</v>
      </c>
      <c r="G87" s="547">
        <v>108</v>
      </c>
      <c r="H87" s="547">
        <v>174</v>
      </c>
      <c r="I87" s="550">
        <f>SUM(E87:H87)</f>
        <v>435</v>
      </c>
      <c r="J87" s="5"/>
      <c r="K87" s="5"/>
    </row>
    <row r="88" spans="2:11" ht="24.6" thickBot="1">
      <c r="B88" s="1460"/>
      <c r="C88" s="73"/>
      <c r="D88" s="32" t="s">
        <v>926</v>
      </c>
      <c r="E88" s="547">
        <v>43</v>
      </c>
      <c r="F88" s="547">
        <v>63</v>
      </c>
      <c r="G88" s="547">
        <v>80</v>
      </c>
      <c r="H88" s="547">
        <v>38</v>
      </c>
      <c r="I88" s="550">
        <f>SUM(E88:H88)</f>
        <v>224</v>
      </c>
      <c r="J88" s="5"/>
      <c r="K88" s="5"/>
    </row>
    <row r="89" spans="2:11" ht="24.6" thickBot="1">
      <c r="B89" s="1460"/>
      <c r="C89" s="73"/>
      <c r="D89" s="32" t="s">
        <v>927</v>
      </c>
      <c r="E89" s="490">
        <f>+E88/E87</f>
        <v>0.71666666666666667</v>
      </c>
      <c r="F89" s="490">
        <f>+F88/F87</f>
        <v>0.67741935483870963</v>
      </c>
      <c r="G89" s="490">
        <f>+G88/G87</f>
        <v>0.7407407407407407</v>
      </c>
      <c r="H89" s="490">
        <f>+H88/H87</f>
        <v>0.21839080459770116</v>
      </c>
      <c r="I89" s="490">
        <f>+I88/I87</f>
        <v>0.51494252873563218</v>
      </c>
      <c r="J89" s="5"/>
      <c r="K89" s="5"/>
    </row>
    <row r="90" spans="2:11">
      <c r="B90" s="1460"/>
      <c r="C90" s="71"/>
      <c r="D90" s="1450"/>
      <c r="E90" s="1451"/>
      <c r="F90" s="1451"/>
      <c r="G90" s="1451"/>
      <c r="H90" s="1451"/>
      <c r="I90" s="1452"/>
      <c r="J90" s="5"/>
      <c r="K90" s="5"/>
    </row>
    <row r="91" spans="2:11">
      <c r="B91" s="1460"/>
      <c r="C91" s="71"/>
      <c r="D91" s="1441" t="s">
        <v>928</v>
      </c>
      <c r="E91" s="1442"/>
      <c r="F91" s="1442"/>
      <c r="G91" s="1442"/>
      <c r="H91" s="1442"/>
      <c r="I91" s="1443"/>
      <c r="J91" s="5"/>
      <c r="K91" s="5"/>
    </row>
    <row r="92" spans="2:11" ht="15" thickBot="1">
      <c r="B92" s="1460"/>
      <c r="C92" s="71"/>
      <c r="D92" s="1726" t="s">
        <v>1887</v>
      </c>
      <c r="E92" s="1727"/>
      <c r="F92" s="1727"/>
      <c r="G92" s="1727"/>
      <c r="H92" s="1727"/>
      <c r="I92" s="1728"/>
      <c r="J92" s="5"/>
      <c r="K92" s="5"/>
    </row>
    <row r="93" spans="2:11" ht="15" thickBot="1">
      <c r="B93" s="1460"/>
      <c r="C93" s="73"/>
      <c r="D93" s="34" t="s">
        <v>149</v>
      </c>
      <c r="E93" s="30" t="s">
        <v>19</v>
      </c>
      <c r="F93" s="30" t="s">
        <v>20</v>
      </c>
      <c r="G93" s="30" t="s">
        <v>21</v>
      </c>
      <c r="H93" s="30" t="s">
        <v>22</v>
      </c>
      <c r="I93" s="69" t="s">
        <v>150</v>
      </c>
      <c r="J93" s="5"/>
      <c r="K93" s="5"/>
    </row>
    <row r="94" spans="2:11" ht="24.6" thickBot="1">
      <c r="B94" s="1460"/>
      <c r="C94" s="73"/>
      <c r="D94" s="32" t="s">
        <v>929</v>
      </c>
      <c r="E94" s="547"/>
      <c r="F94" s="547"/>
      <c r="G94" s="547"/>
      <c r="H94" s="547"/>
      <c r="I94" s="550">
        <f>SUM(E94:H94)</f>
        <v>0</v>
      </c>
      <c r="J94" s="5"/>
      <c r="K94" s="5"/>
    </row>
    <row r="95" spans="2:11" ht="24.6" thickBot="1">
      <c r="B95" s="1460"/>
      <c r="C95" s="73"/>
      <c r="D95" s="32" t="s">
        <v>930</v>
      </c>
      <c r="E95" s="547"/>
      <c r="F95" s="547"/>
      <c r="G95" s="547"/>
      <c r="H95" s="547"/>
      <c r="I95" s="550">
        <f>SUM(E95:H95)</f>
        <v>0</v>
      </c>
      <c r="J95" s="5"/>
      <c r="K95" s="5"/>
    </row>
    <row r="96" spans="2:11" ht="24.6" thickBot="1">
      <c r="B96" s="1460"/>
      <c r="C96" s="73"/>
      <c r="D96" s="32" t="s">
        <v>931</v>
      </c>
      <c r="E96" s="490" t="e">
        <f>+E95/E94</f>
        <v>#DIV/0!</v>
      </c>
      <c r="F96" s="490" t="e">
        <f>+F95/F94</f>
        <v>#DIV/0!</v>
      </c>
      <c r="G96" s="490" t="e">
        <f>+G95/G94</f>
        <v>#DIV/0!</v>
      </c>
      <c r="H96" s="490" t="e">
        <f>+H95/H94</f>
        <v>#DIV/0!</v>
      </c>
      <c r="I96" s="490" t="e">
        <f>+I95/I94</f>
        <v>#DIV/0!</v>
      </c>
      <c r="J96" s="5"/>
      <c r="K96" s="5"/>
    </row>
    <row r="97" spans="2:11">
      <c r="B97" s="1460"/>
      <c r="C97" s="71"/>
      <c r="D97" s="1450"/>
      <c r="E97" s="1451"/>
      <c r="F97" s="1451"/>
      <c r="G97" s="1451"/>
      <c r="H97" s="1451"/>
      <c r="I97" s="1452"/>
      <c r="J97" s="5"/>
      <c r="K97" s="5"/>
    </row>
    <row r="98" spans="2:11">
      <c r="B98" s="1460"/>
      <c r="C98" s="71"/>
      <c r="D98" s="1667" t="s">
        <v>932</v>
      </c>
      <c r="E98" s="1668"/>
      <c r="F98" s="1668"/>
      <c r="G98" s="1668"/>
      <c r="H98" s="1668"/>
      <c r="I98" s="1669"/>
      <c r="J98" s="5"/>
      <c r="K98" s="5"/>
    </row>
    <row r="99" spans="2:11" ht="15" thickBot="1">
      <c r="B99" s="1460"/>
      <c r="C99" s="71"/>
      <c r="D99" s="1441"/>
      <c r="E99" s="1442"/>
      <c r="F99" s="1442"/>
      <c r="G99" s="1442"/>
      <c r="H99" s="1442"/>
      <c r="I99" s="1443"/>
      <c r="J99" s="5"/>
      <c r="K99" s="5"/>
    </row>
    <row r="100" spans="2:11" ht="15" thickBot="1">
      <c r="B100" s="1460"/>
      <c r="C100" s="73"/>
      <c r="D100" s="34" t="s">
        <v>149</v>
      </c>
      <c r="E100" s="30" t="s">
        <v>906</v>
      </c>
      <c r="F100" s="5"/>
      <c r="G100" s="5"/>
      <c r="H100" s="5"/>
      <c r="I100" s="260"/>
      <c r="J100" s="5"/>
      <c r="K100" s="5"/>
    </row>
    <row r="101" spans="2:11" ht="24.6" thickBot="1">
      <c r="B101" s="1460"/>
      <c r="C101" s="73"/>
      <c r="D101" s="32" t="s">
        <v>2047</v>
      </c>
      <c r="E101" s="547">
        <v>63</v>
      </c>
      <c r="F101" s="5"/>
      <c r="G101" s="5"/>
      <c r="H101" s="5"/>
      <c r="I101" s="260"/>
      <c r="J101" s="5"/>
      <c r="K101" s="5"/>
    </row>
    <row r="102" spans="2:11" ht="24.6" thickBot="1">
      <c r="B102" s="1460"/>
      <c r="C102" s="73"/>
      <c r="D102" s="32" t="s">
        <v>2817</v>
      </c>
      <c r="E102" s="547">
        <v>63</v>
      </c>
      <c r="F102" s="5"/>
      <c r="G102" s="5"/>
      <c r="H102" s="5"/>
      <c r="I102" s="260"/>
      <c r="J102" s="5"/>
      <c r="K102" s="5"/>
    </row>
    <row r="103" spans="2:11">
      <c r="B103" s="1460"/>
      <c r="C103" s="71"/>
      <c r="D103" s="1441"/>
      <c r="E103" s="1442"/>
      <c r="F103" s="1442"/>
      <c r="G103" s="1442"/>
      <c r="H103" s="1442"/>
      <c r="I103" s="1443"/>
      <c r="J103" s="5"/>
      <c r="K103" s="5"/>
    </row>
    <row r="104" spans="2:11">
      <c r="B104" s="1460"/>
      <c r="C104" s="71"/>
      <c r="D104" s="1441" t="s">
        <v>933</v>
      </c>
      <c r="E104" s="1442"/>
      <c r="F104" s="1442"/>
      <c r="G104" s="1442"/>
      <c r="H104" s="1442"/>
      <c r="I104" s="1443"/>
      <c r="J104" s="5"/>
      <c r="K104" s="5"/>
    </row>
    <row r="105" spans="2:11" ht="15" thickBot="1">
      <c r="B105" s="1460"/>
      <c r="C105" s="71"/>
      <c r="D105" s="1472"/>
      <c r="E105" s="1473"/>
      <c r="F105" s="1473"/>
      <c r="G105" s="1473"/>
      <c r="H105" s="1473"/>
      <c r="I105" s="1474"/>
      <c r="J105" s="5"/>
      <c r="K105" s="5"/>
    </row>
    <row r="106" spans="2:11" ht="15" thickBot="1">
      <c r="B106" s="1460"/>
      <c r="C106" s="73"/>
      <c r="D106" s="34" t="s">
        <v>149</v>
      </c>
      <c r="E106" s="30" t="s">
        <v>19</v>
      </c>
      <c r="F106" s="30" t="s">
        <v>20</v>
      </c>
      <c r="G106" s="30" t="s">
        <v>21</v>
      </c>
      <c r="H106" s="30" t="s">
        <v>22</v>
      </c>
      <c r="I106" s="69" t="s">
        <v>150</v>
      </c>
      <c r="J106" s="5"/>
      <c r="K106" s="5"/>
    </row>
    <row r="107" spans="2:11" ht="24.6" thickBot="1">
      <c r="B107" s="1460"/>
      <c r="C107" s="73"/>
      <c r="D107" s="32" t="s">
        <v>934</v>
      </c>
      <c r="E107" s="547">
        <v>13</v>
      </c>
      <c r="F107" s="547">
        <v>58</v>
      </c>
      <c r="G107" s="547">
        <v>60</v>
      </c>
      <c r="H107" s="547">
        <v>63</v>
      </c>
      <c r="I107" s="550">
        <f>SUM(E107:H107)</f>
        <v>194</v>
      </c>
      <c r="J107" s="5"/>
      <c r="K107" s="5"/>
    </row>
    <row r="108" spans="2:11" ht="24.6" thickBot="1">
      <c r="B108" s="1460"/>
      <c r="C108" s="73"/>
      <c r="D108" s="32" t="s">
        <v>935</v>
      </c>
      <c r="E108" s="547">
        <v>18</v>
      </c>
      <c r="F108" s="547">
        <v>49</v>
      </c>
      <c r="G108" s="547">
        <v>48</v>
      </c>
      <c r="H108" s="547">
        <v>29</v>
      </c>
      <c r="I108" s="550">
        <f>SUM(E108:H108)</f>
        <v>144</v>
      </c>
      <c r="J108" s="5"/>
      <c r="K108" s="5"/>
    </row>
    <row r="109" spans="2:11" ht="24.6" thickBot="1">
      <c r="B109" s="1461"/>
      <c r="C109" s="2"/>
      <c r="D109" s="32" t="s">
        <v>936</v>
      </c>
      <c r="E109" s="490">
        <f>+E108/E107</f>
        <v>1.3846153846153846</v>
      </c>
      <c r="F109" s="490">
        <f>+F108/F107</f>
        <v>0.84482758620689657</v>
      </c>
      <c r="G109" s="490">
        <f>+G108/G107</f>
        <v>0.8</v>
      </c>
      <c r="H109" s="490">
        <f>+H108/H107</f>
        <v>0.46031746031746029</v>
      </c>
      <c r="I109" s="490">
        <f>+I108/I107</f>
        <v>0.74226804123711343</v>
      </c>
      <c r="J109" s="5"/>
      <c r="K109" s="5"/>
    </row>
    <row r="110" spans="2:11" ht="15" thickBot="1">
      <c r="B110" s="29"/>
      <c r="C110" s="67"/>
      <c r="D110" s="5"/>
      <c r="E110" s="5"/>
      <c r="F110" s="5"/>
      <c r="G110" s="5"/>
      <c r="H110" s="5"/>
      <c r="I110" s="66"/>
      <c r="J110" s="5"/>
      <c r="K110" s="5"/>
    </row>
    <row r="111" spans="2:11" ht="24.6" thickBot="1">
      <c r="B111" s="29"/>
      <c r="C111" s="67"/>
      <c r="D111" s="42" t="s">
        <v>1225</v>
      </c>
      <c r="E111" s="42" t="s">
        <v>1226</v>
      </c>
      <c r="F111" s="42" t="s">
        <v>691</v>
      </c>
      <c r="G111" s="42" t="s">
        <v>1227</v>
      </c>
      <c r="H111" s="5"/>
      <c r="I111" s="66"/>
      <c r="J111" s="5"/>
      <c r="K111" s="5"/>
    </row>
    <row r="112" spans="2:11" ht="24.6" thickBot="1">
      <c r="B112" s="29"/>
      <c r="C112" s="67"/>
      <c r="D112" s="42" t="str">
        <f>+D24</f>
        <v>Porcentaje de licencias ambientales con seguimiento (PLACS)</v>
      </c>
      <c r="E112" s="490">
        <v>0.67</v>
      </c>
      <c r="F112" s="551">
        <v>0.2</v>
      </c>
      <c r="G112" s="490">
        <f>+E112*F112</f>
        <v>0.13400000000000001</v>
      </c>
      <c r="H112" s="5"/>
      <c r="I112" s="66"/>
      <c r="J112" s="5"/>
      <c r="K112" s="5"/>
    </row>
    <row r="113" spans="2:11" ht="24.6" thickBot="1">
      <c r="B113" s="29"/>
      <c r="C113" s="67"/>
      <c r="D113" s="42" t="str">
        <f>+D50</f>
        <v>Porcentaje de concesiones de agua con seguimiento (PCACS)</v>
      </c>
      <c r="E113" s="490">
        <f>+H50</f>
        <v>0.54255319148936165</v>
      </c>
      <c r="F113" s="551">
        <v>0.2</v>
      </c>
      <c r="G113" s="490">
        <f>+E113*F113</f>
        <v>0.10851063829787233</v>
      </c>
      <c r="H113" s="5"/>
      <c r="I113" s="66"/>
      <c r="J113" s="5"/>
      <c r="K113" s="5"/>
    </row>
    <row r="114" spans="2:11" ht="24.6" thickBot="1">
      <c r="B114" s="29"/>
      <c r="C114" s="67"/>
      <c r="D114" s="42" t="str">
        <f>+D71</f>
        <v>Porcentaje de permisos de vertimiento de agua con seguimiento (PVACS)</v>
      </c>
      <c r="E114" s="490">
        <f>+H71</f>
        <v>0.42763157894736842</v>
      </c>
      <c r="F114" s="551">
        <v>0.2</v>
      </c>
      <c r="G114" s="490">
        <f>+E114*F114</f>
        <v>8.5526315789473686E-2</v>
      </c>
      <c r="H114" s="5"/>
      <c r="I114" s="66"/>
      <c r="J114" s="5"/>
      <c r="K114" s="5"/>
    </row>
    <row r="115" spans="2:11" ht="24.6" thickBot="1">
      <c r="B115" s="29"/>
      <c r="C115" s="67"/>
      <c r="D115" s="42" t="str">
        <f>+D89</f>
        <v>Porcentaje de permisos de aprovechamiento forestal con seguimiento (PPAFCS)</v>
      </c>
      <c r="E115" s="490">
        <f>+H89</f>
        <v>0.21839080459770116</v>
      </c>
      <c r="F115" s="551">
        <v>0.2</v>
      </c>
      <c r="G115" s="490">
        <f>+E115*F115</f>
        <v>4.3678160919540236E-2</v>
      </c>
      <c r="H115" s="5"/>
      <c r="I115" s="66"/>
      <c r="J115" s="5"/>
      <c r="K115" s="5"/>
    </row>
    <row r="116" spans="2:11" ht="24.6" thickBot="1">
      <c r="B116" s="29"/>
      <c r="C116" s="67"/>
      <c r="D116" s="42" t="str">
        <f>+D109</f>
        <v>Porcentaje de permisos de emisiones atmosféricas con seguimiento (PEACS)</v>
      </c>
      <c r="E116" s="490">
        <f>+H109</f>
        <v>0.46031746031746029</v>
      </c>
      <c r="F116" s="551">
        <v>0.2</v>
      </c>
      <c r="G116" s="490">
        <f>+E116*F116</f>
        <v>9.2063492063492069E-2</v>
      </c>
      <c r="H116" s="5"/>
      <c r="I116" s="66"/>
      <c r="J116" s="5"/>
      <c r="K116" s="5"/>
    </row>
    <row r="117" spans="2:11" ht="24.6" thickBot="1">
      <c r="B117" s="29"/>
      <c r="C117" s="67"/>
      <c r="D117" s="42" t="s">
        <v>1224</v>
      </c>
      <c r="E117" s="264"/>
      <c r="F117" s="552">
        <f>+[9]Formulas!D26</f>
        <v>1</v>
      </c>
      <c r="G117" s="490">
        <f>SUM(G112:G116)</f>
        <v>0.46377860707037832</v>
      </c>
      <c r="H117" s="5"/>
      <c r="I117" s="66"/>
      <c r="J117" s="5"/>
      <c r="K117" s="5"/>
    </row>
    <row r="118" spans="2:11" ht="15" thickBot="1">
      <c r="B118" s="29"/>
      <c r="C118" s="67"/>
      <c r="D118" s="5"/>
      <c r="E118" s="5"/>
      <c r="F118" s="5"/>
      <c r="G118" s="5"/>
      <c r="H118" s="5"/>
      <c r="I118" s="66"/>
      <c r="J118" s="5"/>
      <c r="K118" s="5"/>
    </row>
    <row r="119" spans="2:11" ht="84.6" thickBot="1">
      <c r="B119" s="42" t="s">
        <v>33</v>
      </c>
      <c r="C119" s="77"/>
      <c r="D119" s="34" t="s">
        <v>937</v>
      </c>
      <c r="E119" s="5"/>
      <c r="F119" s="5"/>
      <c r="G119" s="5"/>
      <c r="H119" s="5"/>
      <c r="I119" s="66"/>
      <c r="J119" s="5"/>
      <c r="K119" s="5"/>
    </row>
    <row r="120" spans="2:11" ht="60.6" thickBot="1">
      <c r="B120" s="37" t="s">
        <v>35</v>
      </c>
      <c r="C120" s="2"/>
      <c r="D120" s="32" t="s">
        <v>158</v>
      </c>
      <c r="E120" s="5"/>
      <c r="F120" s="5"/>
      <c r="G120" s="5"/>
      <c r="H120" s="5"/>
      <c r="I120" s="66"/>
      <c r="J120" s="5"/>
      <c r="K120" s="5"/>
    </row>
    <row r="121" spans="2:11" ht="15" thickBot="1">
      <c r="B121" s="1"/>
      <c r="C121" s="64"/>
      <c r="D121" s="5"/>
      <c r="E121" s="5"/>
      <c r="F121" s="5"/>
      <c r="G121" s="5"/>
      <c r="H121" s="5"/>
      <c r="I121" s="66"/>
      <c r="J121" s="5"/>
      <c r="K121" s="5"/>
    </row>
    <row r="122" spans="2:11" ht="24" customHeight="1" thickBot="1">
      <c r="B122" s="1469" t="s">
        <v>37</v>
      </c>
      <c r="C122" s="1470"/>
      <c r="D122" s="1470"/>
      <c r="E122" s="1471"/>
      <c r="F122" s="5"/>
      <c r="G122" s="5"/>
      <c r="H122" s="5"/>
      <c r="I122" s="66"/>
      <c r="J122" s="5"/>
      <c r="K122" s="5"/>
    </row>
    <row r="123" spans="2:11" ht="18.600000000000001" thickBot="1">
      <c r="B123" s="1459">
        <v>1</v>
      </c>
      <c r="C123" s="73"/>
      <c r="D123" s="38" t="s">
        <v>38</v>
      </c>
      <c r="E123" s="591" t="s">
        <v>1814</v>
      </c>
      <c r="F123" s="5"/>
      <c r="G123" s="5"/>
      <c r="H123" s="5"/>
      <c r="I123" s="66"/>
      <c r="J123" s="5"/>
      <c r="K123" s="5"/>
    </row>
    <row r="124" spans="2:11" ht="24.6" thickBot="1">
      <c r="B124" s="1460"/>
      <c r="C124" s="73"/>
      <c r="D124" s="32" t="s">
        <v>39</v>
      </c>
      <c r="E124" s="282" t="s">
        <v>1885</v>
      </c>
      <c r="F124" s="5"/>
      <c r="G124" s="5"/>
      <c r="H124" s="5"/>
      <c r="I124" s="66"/>
      <c r="J124" s="5"/>
      <c r="K124" s="5"/>
    </row>
    <row r="125" spans="2:11" ht="15" thickBot="1">
      <c r="B125" s="1460"/>
      <c r="C125" s="73"/>
      <c r="D125" s="32" t="s">
        <v>40</v>
      </c>
      <c r="E125" s="282" t="s">
        <v>2037</v>
      </c>
      <c r="F125" s="5"/>
      <c r="G125" s="5"/>
      <c r="H125" s="5"/>
      <c r="I125" s="66"/>
      <c r="J125" s="5"/>
      <c r="K125" s="5"/>
    </row>
    <row r="126" spans="2:11" ht="15" thickBot="1">
      <c r="B126" s="1460"/>
      <c r="C126" s="73"/>
      <c r="D126" s="32" t="s">
        <v>41</v>
      </c>
      <c r="E126" s="282" t="s">
        <v>2050</v>
      </c>
      <c r="F126" s="5"/>
      <c r="G126" s="5"/>
      <c r="H126" s="5"/>
      <c r="I126" s="66"/>
      <c r="J126" s="5"/>
      <c r="K126" s="5"/>
    </row>
    <row r="127" spans="2:11" ht="58.2" thickBot="1">
      <c r="B127" s="1460"/>
      <c r="C127" s="73"/>
      <c r="D127" s="32" t="s">
        <v>42</v>
      </c>
      <c r="E127" s="448" t="s">
        <v>2038</v>
      </c>
      <c r="F127" s="5"/>
      <c r="G127" s="5"/>
      <c r="H127" s="5"/>
      <c r="I127" s="66"/>
      <c r="J127" s="5"/>
      <c r="K127" s="5"/>
    </row>
    <row r="128" spans="2:11" ht="15" thickBot="1">
      <c r="B128" s="1460"/>
      <c r="C128" s="73"/>
      <c r="D128" s="32" t="s">
        <v>43</v>
      </c>
      <c r="E128" s="282" t="s">
        <v>2040</v>
      </c>
      <c r="F128" s="5"/>
      <c r="G128" s="5"/>
      <c r="H128" s="5"/>
      <c r="I128" s="66"/>
      <c r="J128" s="5"/>
      <c r="K128" s="5"/>
    </row>
    <row r="129" spans="2:11" ht="15" thickBot="1">
      <c r="B129" s="1461"/>
      <c r="C129" s="2"/>
      <c r="D129" s="32" t="s">
        <v>44</v>
      </c>
      <c r="E129" s="282" t="s">
        <v>1817</v>
      </c>
      <c r="F129" s="5"/>
      <c r="G129" s="5"/>
      <c r="H129" s="5"/>
      <c r="I129" s="66"/>
      <c r="J129" s="5"/>
      <c r="K129" s="5"/>
    </row>
    <row r="130" spans="2:11" ht="15" thickBot="1">
      <c r="B130" s="1"/>
      <c r="C130" s="64"/>
      <c r="D130" s="5"/>
      <c r="E130" s="5"/>
      <c r="F130" s="5"/>
      <c r="G130" s="5"/>
      <c r="H130" s="5"/>
      <c r="I130" s="66"/>
      <c r="J130" s="5"/>
      <c r="K130" s="5"/>
    </row>
    <row r="131" spans="2:11" ht="15" thickBot="1">
      <c r="B131" s="1469" t="s">
        <v>45</v>
      </c>
      <c r="C131" s="1470"/>
      <c r="D131" s="1470"/>
      <c r="E131" s="1471"/>
      <c r="F131" s="5"/>
      <c r="G131" s="5"/>
      <c r="H131" s="5"/>
      <c r="I131" s="66"/>
      <c r="J131" s="5"/>
      <c r="K131" s="5"/>
    </row>
    <row r="132" spans="2:11" ht="39" customHeight="1" thickBot="1">
      <c r="B132" s="1459">
        <v>1</v>
      </c>
      <c r="C132" s="73"/>
      <c r="D132" s="38" t="s">
        <v>38</v>
      </c>
      <c r="E132" s="28" t="s">
        <v>46</v>
      </c>
      <c r="F132" s="5"/>
      <c r="G132" s="5"/>
      <c r="H132" s="5"/>
      <c r="I132" s="66"/>
      <c r="J132" s="5"/>
      <c r="K132" s="5"/>
    </row>
    <row r="133" spans="2:11" ht="48.6" thickBot="1">
      <c r="B133" s="1460"/>
      <c r="C133" s="73"/>
      <c r="D133" s="32" t="s">
        <v>39</v>
      </c>
      <c r="E133" s="28" t="s">
        <v>159</v>
      </c>
      <c r="F133" s="5"/>
      <c r="G133" s="5"/>
      <c r="H133" s="5"/>
      <c r="I133" s="66"/>
      <c r="J133" s="5"/>
      <c r="K133" s="5"/>
    </row>
    <row r="134" spans="2:11" ht="15" thickBot="1">
      <c r="B134" s="1460"/>
      <c r="C134" s="73"/>
      <c r="D134" s="32" t="s">
        <v>40</v>
      </c>
      <c r="E134" s="138"/>
      <c r="F134" s="5"/>
      <c r="G134" s="5"/>
      <c r="H134" s="5"/>
      <c r="I134" s="66"/>
      <c r="J134" s="5"/>
      <c r="K134" s="5"/>
    </row>
    <row r="135" spans="2:11" ht="15" thickBot="1">
      <c r="B135" s="1460"/>
      <c r="C135" s="73"/>
      <c r="D135" s="32" t="s">
        <v>41</v>
      </c>
      <c r="E135" s="138"/>
      <c r="F135" s="5"/>
      <c r="G135" s="5"/>
      <c r="H135" s="5"/>
      <c r="I135" s="66"/>
      <c r="J135" s="5"/>
      <c r="K135" s="5"/>
    </row>
    <row r="136" spans="2:11" ht="15" thickBot="1">
      <c r="B136" s="1460"/>
      <c r="C136" s="73"/>
      <c r="D136" s="32" t="s">
        <v>42</v>
      </c>
      <c r="E136" s="138"/>
      <c r="F136" s="5"/>
      <c r="G136" s="5"/>
      <c r="H136" s="5"/>
      <c r="I136" s="66"/>
      <c r="J136" s="5"/>
      <c r="K136" s="5"/>
    </row>
    <row r="137" spans="2:11" ht="15" thickBot="1">
      <c r="B137" s="1460"/>
      <c r="C137" s="73"/>
      <c r="D137" s="32" t="s">
        <v>43</v>
      </c>
      <c r="E137" s="138"/>
      <c r="F137" s="5"/>
      <c r="G137" s="5"/>
      <c r="H137" s="5"/>
      <c r="I137" s="66"/>
      <c r="J137" s="5"/>
      <c r="K137" s="5"/>
    </row>
    <row r="138" spans="2:11" ht="15" thickBot="1">
      <c r="B138" s="1461"/>
      <c r="C138" s="2"/>
      <c r="D138" s="32" t="s">
        <v>44</v>
      </c>
      <c r="E138" s="138"/>
      <c r="F138" s="5"/>
      <c r="G138" s="5"/>
      <c r="H138" s="5"/>
      <c r="I138" s="66"/>
      <c r="J138" s="5"/>
      <c r="K138" s="5"/>
    </row>
    <row r="139" spans="2:11" ht="15" thickBot="1">
      <c r="B139" s="1"/>
      <c r="C139" s="64"/>
      <c r="D139" s="5"/>
      <c r="E139" s="5"/>
      <c r="F139" s="5"/>
      <c r="G139" s="5"/>
      <c r="H139" s="5"/>
      <c r="I139" s="66"/>
      <c r="J139" s="5"/>
      <c r="K139" s="5"/>
    </row>
    <row r="140" spans="2:11" ht="15" customHeight="1" thickBot="1">
      <c r="B140" s="137" t="s">
        <v>48</v>
      </c>
      <c r="C140" s="101"/>
      <c r="D140" s="101"/>
      <c r="E140" s="102"/>
      <c r="G140" s="5"/>
      <c r="H140" s="5"/>
      <c r="I140" s="66"/>
      <c r="J140" s="5"/>
      <c r="K140" s="5"/>
    </row>
    <row r="141" spans="2:11" ht="24.6" thickBot="1">
      <c r="B141" s="37" t="s">
        <v>49</v>
      </c>
      <c r="C141" s="32" t="s">
        <v>50</v>
      </c>
      <c r="D141" s="32" t="s">
        <v>51</v>
      </c>
      <c r="E141" s="32" t="s">
        <v>52</v>
      </c>
      <c r="F141" s="5"/>
      <c r="G141" s="5"/>
      <c r="H141" s="5"/>
      <c r="I141" s="66"/>
      <c r="J141" s="5"/>
    </row>
    <row r="142" spans="2:11" ht="60.6" thickBot="1">
      <c r="B142" s="39">
        <v>42401</v>
      </c>
      <c r="C142" s="32">
        <v>0.01</v>
      </c>
      <c r="D142" s="40" t="s">
        <v>938</v>
      </c>
      <c r="E142" s="32"/>
      <c r="F142" s="5"/>
      <c r="G142" s="5"/>
      <c r="H142" s="5"/>
      <c r="I142" s="66"/>
      <c r="J142" s="5"/>
    </row>
    <row r="143" spans="2:11" ht="15" thickBot="1">
      <c r="B143" s="3"/>
      <c r="C143" s="74"/>
      <c r="D143" s="5"/>
      <c r="E143" s="5"/>
      <c r="F143" s="5"/>
      <c r="G143" s="5"/>
      <c r="H143" s="5"/>
      <c r="I143" s="66"/>
      <c r="J143" s="5"/>
      <c r="K143" s="5"/>
    </row>
    <row r="144" spans="2:11" ht="15" thickBot="1">
      <c r="B144" s="106" t="s">
        <v>54</v>
      </c>
      <c r="C144" s="75"/>
      <c r="D144" s="5"/>
      <c r="E144" s="5"/>
      <c r="F144" s="5"/>
      <c r="G144" s="5"/>
      <c r="H144" s="5"/>
      <c r="I144" s="66"/>
      <c r="J144" s="5"/>
      <c r="K144" s="5"/>
    </row>
    <row r="145" spans="2:11" ht="63" customHeight="1" thickBot="1">
      <c r="B145" s="1729"/>
      <c r="C145" s="1730"/>
      <c r="D145" s="1730"/>
      <c r="E145" s="1731"/>
      <c r="F145" s="5"/>
      <c r="G145" s="5"/>
      <c r="H145" s="5"/>
      <c r="I145" s="66"/>
      <c r="J145" s="5"/>
      <c r="K145" s="5"/>
    </row>
    <row r="146" spans="2:11" ht="15" thickBot="1">
      <c r="B146" s="5"/>
      <c r="D146" s="5"/>
      <c r="E146" s="5"/>
      <c r="F146" s="5"/>
      <c r="G146" s="5"/>
      <c r="H146" s="5"/>
      <c r="I146" s="66"/>
      <c r="J146" s="5"/>
      <c r="K146" s="5"/>
    </row>
    <row r="147" spans="2:11" ht="24.6" thickBot="1">
      <c r="B147" s="41" t="s">
        <v>55</v>
      </c>
      <c r="C147" s="76"/>
      <c r="D147" s="5"/>
      <c r="E147" s="5"/>
      <c r="F147" s="5"/>
      <c r="G147" s="5"/>
      <c r="H147" s="5"/>
      <c r="I147" s="66"/>
      <c r="J147" s="5"/>
      <c r="K147" s="5"/>
    </row>
    <row r="148" spans="2:11" ht="15" thickBot="1">
      <c r="B148" s="1" t="s">
        <v>876</v>
      </c>
      <c r="C148" s="64"/>
      <c r="D148" s="5"/>
      <c r="E148" s="5"/>
      <c r="F148" s="5"/>
      <c r="G148" s="5"/>
      <c r="H148" s="5"/>
      <c r="I148" s="66"/>
      <c r="J148" s="5"/>
      <c r="K148" s="5"/>
    </row>
    <row r="149" spans="2:11" ht="48.6" thickBot="1">
      <c r="B149" s="42" t="s">
        <v>56</v>
      </c>
      <c r="C149" s="77"/>
      <c r="D149" s="34" t="s">
        <v>877</v>
      </c>
      <c r="E149" s="5"/>
      <c r="F149" s="5"/>
      <c r="G149" s="5"/>
      <c r="H149" s="5"/>
      <c r="I149" s="66"/>
      <c r="J149" s="5"/>
      <c r="K149" s="5"/>
    </row>
    <row r="150" spans="2:11">
      <c r="B150" s="1459" t="s">
        <v>58</v>
      </c>
      <c r="C150" s="73"/>
      <c r="D150" s="43" t="s">
        <v>59</v>
      </c>
      <c r="E150" s="5"/>
      <c r="F150" s="5"/>
      <c r="G150" s="5"/>
      <c r="H150" s="5"/>
      <c r="I150" s="66"/>
      <c r="J150" s="5"/>
      <c r="K150" s="5"/>
    </row>
    <row r="151" spans="2:11" ht="96">
      <c r="B151" s="1460"/>
      <c r="C151" s="73"/>
      <c r="D151" s="36" t="s">
        <v>878</v>
      </c>
      <c r="E151" s="5"/>
      <c r="F151" s="5"/>
      <c r="G151" s="5"/>
      <c r="H151" s="5"/>
      <c r="I151" s="66"/>
      <c r="J151" s="5"/>
      <c r="K151" s="5"/>
    </row>
    <row r="152" spans="2:11">
      <c r="B152" s="1460"/>
      <c r="C152" s="73"/>
      <c r="D152" s="43" t="s">
        <v>133</v>
      </c>
      <c r="E152" s="5"/>
      <c r="F152" s="5"/>
      <c r="G152" s="5"/>
      <c r="H152" s="5"/>
      <c r="I152" s="66"/>
      <c r="J152" s="5"/>
      <c r="K152" s="5"/>
    </row>
    <row r="153" spans="2:11">
      <c r="B153" s="1460"/>
      <c r="C153" s="73"/>
      <c r="D153" s="36" t="s">
        <v>63</v>
      </c>
      <c r="E153" s="5"/>
      <c r="F153" s="5"/>
      <c r="G153" s="5"/>
      <c r="H153" s="5"/>
      <c r="I153" s="66"/>
      <c r="J153" s="5"/>
      <c r="K153" s="5"/>
    </row>
    <row r="154" spans="2:11">
      <c r="B154" s="1460"/>
      <c r="C154" s="73"/>
      <c r="D154" s="36" t="s">
        <v>64</v>
      </c>
      <c r="E154" s="5"/>
      <c r="F154" s="5"/>
      <c r="G154" s="5"/>
      <c r="H154" s="5"/>
      <c r="I154" s="66"/>
      <c r="J154" s="5"/>
      <c r="K154" s="5"/>
    </row>
    <row r="155" spans="2:11">
      <c r="B155" s="1460"/>
      <c r="C155" s="73"/>
      <c r="D155" s="36" t="s">
        <v>832</v>
      </c>
      <c r="E155" s="5"/>
      <c r="F155" s="5"/>
      <c r="G155" s="5"/>
      <c r="H155" s="5"/>
      <c r="I155" s="66"/>
      <c r="J155" s="5"/>
      <c r="K155" s="5"/>
    </row>
    <row r="156" spans="2:11" ht="36.6" thickBot="1">
      <c r="B156" s="1461"/>
      <c r="C156" s="2"/>
      <c r="D156" s="32" t="s">
        <v>879</v>
      </c>
      <c r="E156" s="5"/>
      <c r="F156" s="5"/>
      <c r="G156" s="5"/>
      <c r="H156" s="5"/>
      <c r="I156" s="66"/>
      <c r="J156" s="5"/>
      <c r="K156" s="5"/>
    </row>
    <row r="157" spans="2:11" ht="24.6" thickBot="1">
      <c r="B157" s="37" t="s">
        <v>71</v>
      </c>
      <c r="C157" s="2"/>
      <c r="D157" s="32"/>
      <c r="E157" s="5"/>
      <c r="F157" s="5"/>
      <c r="G157" s="5"/>
      <c r="H157" s="5"/>
      <c r="I157" s="66"/>
      <c r="J157" s="5"/>
      <c r="K157" s="5"/>
    </row>
    <row r="158" spans="2:11" ht="264">
      <c r="B158" s="1459" t="s">
        <v>72</v>
      </c>
      <c r="C158" s="73"/>
      <c r="D158" s="36" t="s">
        <v>880</v>
      </c>
      <c r="E158" s="5"/>
      <c r="F158" s="5"/>
      <c r="G158" s="5"/>
      <c r="H158" s="5"/>
      <c r="I158" s="66"/>
      <c r="J158" s="5"/>
      <c r="K158" s="5"/>
    </row>
    <row r="159" spans="2:11" ht="276">
      <c r="B159" s="1460"/>
      <c r="C159" s="73"/>
      <c r="D159" s="36" t="s">
        <v>881</v>
      </c>
      <c r="E159" s="5"/>
      <c r="F159" s="5"/>
      <c r="G159" s="5"/>
      <c r="H159" s="5"/>
      <c r="I159" s="66"/>
      <c r="J159" s="5"/>
      <c r="K159" s="5"/>
    </row>
    <row r="160" spans="2:11" ht="84">
      <c r="B160" s="1460"/>
      <c r="C160" s="73"/>
      <c r="D160" s="36" t="s">
        <v>882</v>
      </c>
      <c r="E160" s="5"/>
      <c r="F160" s="5"/>
      <c r="G160" s="5"/>
      <c r="H160" s="5"/>
      <c r="I160" s="66"/>
      <c r="J160" s="5"/>
      <c r="K160" s="5"/>
    </row>
    <row r="161" spans="2:11" ht="60.6" thickBot="1">
      <c r="B161" s="1461"/>
      <c r="C161" s="2"/>
      <c r="D161" s="32" t="s">
        <v>883</v>
      </c>
      <c r="E161" s="5"/>
      <c r="F161" s="5"/>
      <c r="G161" s="5"/>
      <c r="H161" s="5"/>
      <c r="I161" s="66"/>
      <c r="J161" s="5"/>
      <c r="K161" s="5"/>
    </row>
    <row r="162" spans="2:11" ht="24">
      <c r="B162" s="1459" t="s">
        <v>89</v>
      </c>
      <c r="C162" s="73"/>
      <c r="D162" s="43" t="s">
        <v>875</v>
      </c>
      <c r="E162" s="5"/>
      <c r="F162" s="5"/>
      <c r="G162" s="5"/>
      <c r="H162" s="5"/>
      <c r="I162" s="66"/>
      <c r="J162" s="5"/>
      <c r="K162" s="5"/>
    </row>
    <row r="163" spans="2:11">
      <c r="B163" s="1460"/>
      <c r="C163" s="73"/>
      <c r="D163" s="13"/>
      <c r="E163" s="5"/>
      <c r="F163" s="5"/>
      <c r="G163" s="5"/>
      <c r="H163" s="5"/>
      <c r="I163" s="66"/>
      <c r="J163" s="5"/>
      <c r="K163" s="5"/>
    </row>
    <row r="164" spans="2:11">
      <c r="B164" s="1460"/>
      <c r="C164" s="73"/>
      <c r="D164" s="36" t="s">
        <v>90</v>
      </c>
      <c r="E164" s="5"/>
      <c r="F164" s="5"/>
      <c r="G164" s="5"/>
      <c r="H164" s="5"/>
      <c r="I164" s="66"/>
      <c r="J164" s="5"/>
      <c r="K164" s="5"/>
    </row>
    <row r="165" spans="2:11" ht="26.4">
      <c r="B165" s="1460"/>
      <c r="C165" s="73"/>
      <c r="D165" s="36" t="s">
        <v>884</v>
      </c>
      <c r="E165" s="5"/>
      <c r="F165" s="5"/>
      <c r="G165" s="5"/>
      <c r="H165" s="5"/>
      <c r="I165" s="66"/>
      <c r="J165" s="5"/>
      <c r="K165" s="5"/>
    </row>
    <row r="166" spans="2:11" ht="26.4">
      <c r="B166" s="1460"/>
      <c r="C166" s="73"/>
      <c r="D166" s="36" t="s">
        <v>885</v>
      </c>
      <c r="E166" s="5"/>
      <c r="F166" s="5"/>
      <c r="G166" s="5"/>
      <c r="H166" s="5"/>
      <c r="I166" s="66"/>
      <c r="J166" s="5"/>
      <c r="K166" s="5"/>
    </row>
    <row r="167" spans="2:11" ht="48">
      <c r="B167" s="1460"/>
      <c r="C167" s="73"/>
      <c r="D167" s="36" t="s">
        <v>886</v>
      </c>
      <c r="E167" s="5"/>
      <c r="F167" s="5"/>
      <c r="G167" s="5"/>
      <c r="H167" s="5"/>
      <c r="I167" s="66"/>
      <c r="J167" s="5"/>
      <c r="K167" s="5"/>
    </row>
    <row r="168" spans="2:11" ht="86.4">
      <c r="B168" s="1460"/>
      <c r="C168" s="73"/>
      <c r="D168" s="36" t="s">
        <v>887</v>
      </c>
      <c r="E168" s="5"/>
      <c r="F168" s="5"/>
      <c r="G168" s="5"/>
      <c r="H168" s="5"/>
      <c r="I168" s="66"/>
      <c r="J168" s="5"/>
      <c r="K168" s="5"/>
    </row>
    <row r="169" spans="2:11" ht="24">
      <c r="B169" s="1460"/>
      <c r="C169" s="73"/>
      <c r="D169" s="43" t="s">
        <v>888</v>
      </c>
      <c r="E169" s="5"/>
      <c r="F169" s="5"/>
      <c r="G169" s="5"/>
      <c r="H169" s="5"/>
      <c r="I169" s="66"/>
      <c r="J169" s="5"/>
      <c r="K169" s="5"/>
    </row>
    <row r="170" spans="2:11">
      <c r="B170" s="1460"/>
      <c r="C170" s="73"/>
      <c r="D170" s="13"/>
      <c r="E170" s="5"/>
      <c r="F170" s="5"/>
      <c r="G170" s="5"/>
      <c r="H170" s="5"/>
      <c r="I170" s="66"/>
      <c r="J170" s="5"/>
      <c r="K170" s="5"/>
    </row>
    <row r="171" spans="2:11">
      <c r="B171" s="1460"/>
      <c r="C171" s="73"/>
      <c r="D171" s="36" t="s">
        <v>90</v>
      </c>
      <c r="E171" s="5"/>
      <c r="F171" s="5"/>
      <c r="G171" s="5"/>
      <c r="H171" s="5"/>
      <c r="I171" s="66"/>
      <c r="J171" s="5"/>
      <c r="K171" s="5"/>
    </row>
    <row r="172" spans="2:11" ht="26.4">
      <c r="B172" s="1460"/>
      <c r="C172" s="73"/>
      <c r="D172" s="36" t="s">
        <v>889</v>
      </c>
      <c r="E172" s="5"/>
      <c r="F172" s="5"/>
      <c r="G172" s="5"/>
      <c r="H172" s="5"/>
      <c r="I172" s="66"/>
      <c r="J172" s="5"/>
      <c r="K172" s="5"/>
    </row>
    <row r="173" spans="2:11" ht="26.4">
      <c r="B173" s="1460"/>
      <c r="C173" s="73"/>
      <c r="D173" s="36" t="s">
        <v>890</v>
      </c>
      <c r="E173" s="5"/>
      <c r="F173" s="5"/>
      <c r="G173" s="5"/>
      <c r="H173" s="5"/>
      <c r="I173" s="66"/>
      <c r="J173" s="5"/>
      <c r="K173" s="5"/>
    </row>
    <row r="174" spans="2:11" ht="26.4">
      <c r="B174" s="1460"/>
      <c r="C174" s="73"/>
      <c r="D174" s="36" t="s">
        <v>891</v>
      </c>
      <c r="E174" s="5"/>
      <c r="F174" s="5"/>
      <c r="G174" s="5"/>
      <c r="H174" s="5"/>
      <c r="I174" s="66"/>
      <c r="J174" s="5"/>
      <c r="K174" s="5"/>
    </row>
    <row r="175" spans="2:11" ht="48">
      <c r="B175" s="1460"/>
      <c r="C175" s="73"/>
      <c r="D175" s="36" t="s">
        <v>886</v>
      </c>
      <c r="E175" s="5"/>
      <c r="F175" s="5"/>
      <c r="G175" s="5"/>
      <c r="H175" s="5"/>
      <c r="I175" s="66"/>
      <c r="J175" s="5"/>
      <c r="K175" s="5"/>
    </row>
    <row r="176" spans="2:11" ht="48.6" thickBot="1">
      <c r="B176" s="1461"/>
      <c r="C176" s="2"/>
      <c r="D176" s="32" t="s">
        <v>892</v>
      </c>
      <c r="E176" s="5"/>
      <c r="F176" s="5"/>
      <c r="G176" s="5"/>
      <c r="H176" s="5"/>
      <c r="I176" s="66"/>
      <c r="J176" s="5"/>
      <c r="K176" s="5"/>
    </row>
    <row r="177" spans="2:11">
      <c r="B177" s="5"/>
      <c r="D177" s="5"/>
      <c r="E177" s="5"/>
      <c r="F177" s="5"/>
      <c r="G177" s="5"/>
      <c r="H177" s="5"/>
      <c r="I177" s="66"/>
      <c r="J177" s="5"/>
      <c r="K177" s="5"/>
    </row>
    <row r="178" spans="2:11">
      <c r="B178" s="5"/>
      <c r="D178" s="5"/>
      <c r="E178" s="5"/>
      <c r="F178" s="5"/>
      <c r="G178" s="5"/>
      <c r="H178" s="5"/>
      <c r="I178" s="66"/>
      <c r="J178" s="5"/>
      <c r="K178" s="5"/>
    </row>
    <row r="179" spans="2:11">
      <c r="B179" s="5"/>
      <c r="D179" s="5"/>
      <c r="E179" s="5"/>
      <c r="F179" s="5"/>
      <c r="G179" s="5"/>
      <c r="H179" s="5"/>
      <c r="I179" s="66"/>
      <c r="J179" s="5"/>
      <c r="K179" s="5"/>
    </row>
    <row r="180" spans="2:11">
      <c r="B180" s="5"/>
      <c r="D180" s="5"/>
      <c r="E180" s="5"/>
      <c r="F180" s="5"/>
      <c r="G180" s="5"/>
      <c r="H180" s="5"/>
      <c r="I180" s="66"/>
      <c r="J180" s="5"/>
      <c r="K180" s="5"/>
    </row>
    <row r="181" spans="2:11">
      <c r="B181" s="5"/>
      <c r="D181" s="5"/>
      <c r="E181" s="5"/>
      <c r="F181" s="5"/>
      <c r="G181" s="5"/>
      <c r="H181" s="5"/>
      <c r="I181" s="66"/>
      <c r="J181" s="5"/>
      <c r="K181" s="5"/>
    </row>
    <row r="182" spans="2:11">
      <c r="B182" s="5"/>
      <c r="D182" s="5"/>
      <c r="E182" s="5"/>
      <c r="F182" s="5"/>
      <c r="G182" s="5"/>
      <c r="H182" s="5"/>
      <c r="I182" s="66"/>
      <c r="J182" s="5"/>
      <c r="K182" s="5"/>
    </row>
    <row r="183" spans="2:11">
      <c r="B183" s="5"/>
      <c r="D183" s="5"/>
      <c r="E183" s="5"/>
      <c r="F183" s="5"/>
      <c r="G183" s="5"/>
      <c r="H183" s="5"/>
      <c r="I183" s="66"/>
      <c r="J183" s="5"/>
      <c r="K183" s="5"/>
    </row>
    <row r="184" spans="2:11">
      <c r="B184" s="5"/>
      <c r="D184" s="5"/>
      <c r="E184" s="5"/>
      <c r="F184" s="5"/>
      <c r="G184" s="5"/>
      <c r="H184" s="5"/>
      <c r="I184" s="66"/>
      <c r="J184" s="5"/>
      <c r="K184" s="5"/>
    </row>
    <row r="185" spans="2:11">
      <c r="B185" s="5"/>
      <c r="D185" s="5"/>
      <c r="E185" s="5"/>
      <c r="F185" s="5"/>
      <c r="G185" s="5"/>
      <c r="H185" s="5"/>
      <c r="I185" s="66"/>
      <c r="J185" s="5"/>
      <c r="K185" s="5"/>
    </row>
    <row r="186" spans="2:11">
      <c r="B186" s="5"/>
      <c r="D186" s="5"/>
      <c r="E186" s="5"/>
      <c r="F186" s="5"/>
      <c r="G186" s="5"/>
      <c r="H186" s="5"/>
      <c r="I186" s="66"/>
      <c r="J186" s="5"/>
      <c r="K186" s="5"/>
    </row>
    <row r="187" spans="2:11">
      <c r="B187" s="5"/>
      <c r="D187" s="5"/>
      <c r="E187" s="5"/>
      <c r="F187" s="5"/>
      <c r="G187" s="5"/>
      <c r="H187" s="5"/>
      <c r="I187" s="66"/>
      <c r="J187" s="5"/>
      <c r="K187" s="5"/>
    </row>
    <row r="188" spans="2:11">
      <c r="B188" s="5"/>
      <c r="D188" s="5"/>
      <c r="E188" s="5"/>
      <c r="F188" s="5"/>
      <c r="G188" s="5"/>
      <c r="H188" s="5"/>
      <c r="I188" s="66"/>
      <c r="J188" s="5"/>
      <c r="K188" s="5"/>
    </row>
    <row r="189" spans="2:11">
      <c r="B189" s="5"/>
      <c r="D189" s="5"/>
      <c r="E189" s="5"/>
      <c r="F189" s="5"/>
      <c r="G189" s="5"/>
      <c r="H189" s="5"/>
      <c r="I189" s="66"/>
      <c r="J189" s="5"/>
      <c r="K189" s="5"/>
    </row>
    <row r="190" spans="2:11">
      <c r="B190" s="5"/>
      <c r="D190" s="5"/>
      <c r="E190" s="5"/>
      <c r="F190" s="5"/>
      <c r="G190" s="5"/>
      <c r="H190" s="5"/>
      <c r="I190" s="66"/>
      <c r="J190" s="5"/>
      <c r="K190" s="5"/>
    </row>
    <row r="191" spans="2:11">
      <c r="B191" s="5"/>
      <c r="D191" s="5"/>
      <c r="E191" s="5"/>
      <c r="F191" s="5"/>
      <c r="G191" s="5"/>
      <c r="H191" s="5"/>
      <c r="I191" s="66"/>
      <c r="J191" s="5"/>
      <c r="K191" s="5"/>
    </row>
    <row r="192" spans="2:11">
      <c r="B192" s="5"/>
      <c r="D192" s="5"/>
      <c r="E192" s="5"/>
      <c r="F192" s="5"/>
      <c r="G192" s="5"/>
      <c r="H192" s="5"/>
      <c r="I192" s="66"/>
      <c r="J192" s="5"/>
      <c r="K192" s="5"/>
    </row>
  </sheetData>
  <mergeCells count="59">
    <mergeCell ref="A1:P1"/>
    <mergeCell ref="A2:P2"/>
    <mergeCell ref="A3:P3"/>
    <mergeCell ref="A4:D4"/>
    <mergeCell ref="A5:P5"/>
    <mergeCell ref="B10:D10"/>
    <mergeCell ref="F10:S10"/>
    <mergeCell ref="F11:S11"/>
    <mergeCell ref="E12:R12"/>
    <mergeCell ref="E13:R13"/>
    <mergeCell ref="B145:E145"/>
    <mergeCell ref="B150:B156"/>
    <mergeCell ref="B158:B161"/>
    <mergeCell ref="B162:B176"/>
    <mergeCell ref="D27:D28"/>
    <mergeCell ref="E27:E28"/>
    <mergeCell ref="D51:I51"/>
    <mergeCell ref="D52:I52"/>
    <mergeCell ref="D53:I53"/>
    <mergeCell ref="D58:I58"/>
    <mergeCell ref="D59:I59"/>
    <mergeCell ref="D60:I60"/>
    <mergeCell ref="D65:I65"/>
    <mergeCell ref="D98:I98"/>
    <mergeCell ref="D67:I67"/>
    <mergeCell ref="D73:I73"/>
    <mergeCell ref="G27:G28"/>
    <mergeCell ref="B15:B109"/>
    <mergeCell ref="D15:I15"/>
    <mergeCell ref="D16:I16"/>
    <mergeCell ref="D17:I17"/>
    <mergeCell ref="D20:I20"/>
    <mergeCell ref="D25:I25"/>
    <mergeCell ref="D26:I26"/>
    <mergeCell ref="D37:I37"/>
    <mergeCell ref="D38:I38"/>
    <mergeCell ref="F27:F28"/>
    <mergeCell ref="D66:I66"/>
    <mergeCell ref="D39:I39"/>
    <mergeCell ref="D44:I44"/>
    <mergeCell ref="D45:I45"/>
    <mergeCell ref="D46:I46"/>
    <mergeCell ref="D79:I79"/>
    <mergeCell ref="D80:I80"/>
    <mergeCell ref="D84:I84"/>
    <mergeCell ref="D85:I85"/>
    <mergeCell ref="D74:I74"/>
    <mergeCell ref="D90:I90"/>
    <mergeCell ref="D91:I91"/>
    <mergeCell ref="D92:I92"/>
    <mergeCell ref="D97:I97"/>
    <mergeCell ref="B131:E131"/>
    <mergeCell ref="B132:B138"/>
    <mergeCell ref="D99:I99"/>
    <mergeCell ref="D103:I103"/>
    <mergeCell ref="D104:I104"/>
    <mergeCell ref="D105:I105"/>
    <mergeCell ref="B122:E122"/>
    <mergeCell ref="B123:B129"/>
  </mergeCells>
  <conditionalFormatting sqref="E12:R12">
    <cfRule type="expression" dxfId="33" priority="1">
      <formula>E11="SI SE REPORTA"</formula>
    </cfRule>
  </conditionalFormatting>
  <conditionalFormatting sqref="F10">
    <cfRule type="notContainsBlanks" dxfId="32" priority="4">
      <formula>LEN(TRIM(F10))&gt;0</formula>
    </cfRule>
  </conditionalFormatting>
  <conditionalFormatting sqref="F117">
    <cfRule type="containsText" dxfId="31" priority="5" operator="containsText" text="ERROR">
      <formula>NOT(ISERROR(SEARCH("ERROR",F117)))</formula>
    </cfRule>
  </conditionalFormatting>
  <conditionalFormatting sqref="F11:S11">
    <cfRule type="expression" dxfId="30" priority="2">
      <formula>E11="NO SE REPORTA"</formula>
    </cfRule>
    <cfRule type="expression" dxfId="29" priority="3">
      <formula>E10="NO APLICA"</formula>
    </cfRule>
  </conditionalFormatting>
  <dataValidations count="5">
    <dataValidation type="whole" operator="greaterThanOrEqual" allowBlank="1" showErrorMessage="1" errorTitle="ERROR" error="Escriba un número igual o mayor que 0" promptTitle="ERROR" prompt="Escriba un número igual o mayor que 0" sqref="E94:H95 E55:H56 E87:H88 E18:E19 E41:E43 E48:H49 E62:E64 E69:H70 E76:H77 E101:E102 E82:E83 E22:H23 E107:H108 E29:H35" xr:uid="{71B9858D-2002-4F6C-BB99-7AC39A17AB37}">
      <formula1>0</formula1>
    </dataValidation>
    <dataValidation allowBlank="1" showInputMessage="1" showErrorMessage="1" sqref="E57:H57 E71:I71 I69:I70 I76:I78 E78:H78 E24:H24 E36:H36 I48:I50 E50:H50 I55:I57" xr:uid="{5405038B-5E32-4781-927F-619B72C86E8F}"/>
    <dataValidation type="decimal" allowBlank="1" showInputMessage="1" showErrorMessage="1" errorTitle="ERROR" error="Escriba un valor entre 0% y 100%" sqref="F112:F116" xr:uid="{A6974848-87DE-42C1-BC95-946DE86C0040}">
      <formula1>0</formula1>
      <formula2>1</formula2>
    </dataValidation>
    <dataValidation type="list" allowBlank="1" showInputMessage="1" showErrorMessage="1" sqref="E11" xr:uid="{46EC2550-D8B2-4A0C-896A-FA6F41070672}">
      <formula1>REPORTE</formula1>
    </dataValidation>
    <dataValidation type="list" allowBlank="1" showInputMessage="1" showErrorMessage="1" sqref="E10" xr:uid="{5BAD9955-A001-4019-BB02-2BAD88565389}">
      <formula1>SI</formula1>
    </dataValidation>
  </dataValidations>
  <hyperlinks>
    <hyperlink ref="B9" location="'ANEXO 3'!A1" display="VOLVER AL INDICE" xr:uid="{D74AEAFC-8299-4E0E-A298-8120217D2CAA}"/>
    <hyperlink ref="E127" r:id="rId1" display="bcoll@crautonoma.gov.co" xr:uid="{AF5EA0F2-B8FC-441A-B475-414740191916}"/>
  </hyperlinks>
  <pageMargins left="0.25" right="0.25" top="0.75" bottom="0.75" header="0.3" footer="0.3"/>
  <pageSetup paperSize="178" orientation="landscape" horizontalDpi="1200" verticalDpi="1200"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6"/>
  <dimension ref="A1:B19"/>
  <sheetViews>
    <sheetView workbookViewId="0">
      <selection activeCell="E8" sqref="E8"/>
    </sheetView>
  </sheetViews>
  <sheetFormatPr baseColWidth="10" defaultColWidth="11.44140625" defaultRowHeight="13.8"/>
  <cols>
    <col min="1" max="1" width="34.109375" style="397" customWidth="1"/>
    <col min="2" max="2" width="70.5546875" style="397" customWidth="1"/>
    <col min="3" max="16384" width="11.44140625" style="397"/>
  </cols>
  <sheetData>
    <row r="1" spans="1:2" ht="14.4" thickBot="1">
      <c r="A1" s="1358"/>
      <c r="B1" s="1358"/>
    </row>
    <row r="2" spans="1:2" ht="14.4" thickBot="1">
      <c r="A2" s="1359" t="s">
        <v>1664</v>
      </c>
      <c r="B2" s="1360"/>
    </row>
    <row r="3" spans="1:2" ht="14.4" thickBot="1">
      <c r="A3" s="1361" t="s">
        <v>1243</v>
      </c>
      <c r="B3" s="1362"/>
    </row>
    <row r="4" spans="1:2" ht="14.4" thickBot="1">
      <c r="A4" s="398" t="s">
        <v>1665</v>
      </c>
      <c r="B4" s="398" t="s">
        <v>1244</v>
      </c>
    </row>
    <row r="5" spans="1:2" ht="28.2" thickBot="1">
      <c r="A5" s="399" t="s">
        <v>1666</v>
      </c>
      <c r="B5" s="400" t="s">
        <v>1667</v>
      </c>
    </row>
    <row r="6" spans="1:2" ht="15" thickTop="1" thickBot="1">
      <c r="A6" s="401" t="s">
        <v>1668</v>
      </c>
      <c r="B6" s="400" t="s">
        <v>1669</v>
      </c>
    </row>
    <row r="7" spans="1:2" ht="28.8" thickTop="1" thickBot="1">
      <c r="A7" s="401" t="s">
        <v>1670</v>
      </c>
      <c r="B7" s="402" t="s">
        <v>1671</v>
      </c>
    </row>
    <row r="8" spans="1:2" ht="56.4" thickTop="1" thickBot="1">
      <c r="A8" s="401" t="s">
        <v>1672</v>
      </c>
      <c r="B8" s="400" t="s">
        <v>1673</v>
      </c>
    </row>
    <row r="9" spans="1:2" ht="56.4" thickTop="1" thickBot="1">
      <c r="A9" s="403" t="s">
        <v>1674</v>
      </c>
      <c r="B9" s="400" t="s">
        <v>1675</v>
      </c>
    </row>
    <row r="10" spans="1:2" ht="28.8" thickTop="1" thickBot="1">
      <c r="A10" s="403" t="s">
        <v>1676</v>
      </c>
      <c r="B10" s="400" t="s">
        <v>1677</v>
      </c>
    </row>
    <row r="11" spans="1:2" ht="28.8" thickTop="1" thickBot="1">
      <c r="A11" s="404" t="s">
        <v>1678</v>
      </c>
      <c r="B11" s="402" t="s">
        <v>1679</v>
      </c>
    </row>
    <row r="12" spans="1:2" ht="28.8" thickTop="1" thickBot="1">
      <c r="A12" s="401" t="s">
        <v>1680</v>
      </c>
      <c r="B12" s="402" t="s">
        <v>1681</v>
      </c>
    </row>
    <row r="13" spans="1:2" ht="97.8" thickTop="1" thickBot="1">
      <c r="A13" s="404" t="s">
        <v>1682</v>
      </c>
      <c r="B13" s="400" t="s">
        <v>1683</v>
      </c>
    </row>
    <row r="14" spans="1:2" ht="56.4" thickTop="1" thickBot="1">
      <c r="A14" s="404" t="s">
        <v>1684</v>
      </c>
      <c r="B14" s="400" t="s">
        <v>1685</v>
      </c>
    </row>
    <row r="15" spans="1:2" ht="84" thickTop="1" thickBot="1">
      <c r="A15" s="405" t="s">
        <v>1686</v>
      </c>
      <c r="B15" s="402" t="s">
        <v>1687</v>
      </c>
    </row>
    <row r="16" spans="1:2" ht="15" thickTop="1" thickBot="1">
      <c r="A16" s="401" t="s">
        <v>1688</v>
      </c>
      <c r="B16" s="402" t="s">
        <v>1689</v>
      </c>
    </row>
    <row r="17" spans="1:2" ht="28.8" thickTop="1" thickBot="1">
      <c r="A17" s="406" t="s">
        <v>1690</v>
      </c>
      <c r="B17" s="402" t="s">
        <v>1691</v>
      </c>
    </row>
    <row r="18" spans="1:2" ht="28.8" thickTop="1" thickBot="1">
      <c r="A18" s="401" t="s">
        <v>1692</v>
      </c>
      <c r="B18" s="407" t="s">
        <v>1693</v>
      </c>
    </row>
    <row r="19" spans="1:2" ht="14.4" thickTop="1"/>
  </sheetData>
  <mergeCells count="3">
    <mergeCell ref="A1:B1"/>
    <mergeCell ref="A2:B2"/>
    <mergeCell ref="A3:B3"/>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33"/>
  <dimension ref="A1:U179"/>
  <sheetViews>
    <sheetView showGridLines="0" topLeftCell="A7" zoomScale="98" zoomScaleNormal="98" workbookViewId="0">
      <selection activeCell="H21" sqref="H21"/>
    </sheetView>
  </sheetViews>
  <sheetFormatPr baseColWidth="10" defaultRowHeight="14.4"/>
  <cols>
    <col min="1" max="1" width="1.88671875" customWidth="1"/>
    <col min="2" max="2" width="12.88671875" customWidth="1"/>
    <col min="3" max="3" width="5" style="66" bestFit="1" customWidth="1"/>
    <col min="4" max="4" width="34.88671875" customWidth="1"/>
    <col min="5" max="5" width="24.88671875" customWidth="1"/>
  </cols>
  <sheetData>
    <row r="1" spans="1:21" s="314" customFormat="1" ht="100.5" customHeight="1" thickBot="1">
      <c r="A1" s="1421"/>
      <c r="B1" s="1422"/>
      <c r="C1" s="1422"/>
      <c r="D1" s="1422"/>
      <c r="E1" s="1422"/>
      <c r="F1" s="1422"/>
      <c r="G1" s="1422"/>
      <c r="H1" s="1422"/>
      <c r="I1" s="1422"/>
      <c r="J1" s="1422"/>
      <c r="K1" s="1422"/>
      <c r="L1" s="1422"/>
      <c r="M1" s="1422"/>
      <c r="N1" s="1422"/>
      <c r="O1" s="1422"/>
      <c r="P1" s="1423"/>
      <c r="Q1"/>
      <c r="R1"/>
    </row>
    <row r="2" spans="1:21" s="315" customFormat="1" ht="16.2" thickBot="1">
      <c r="A2" s="1418" t="str">
        <f>+'[9]Datos Generales'!C5</f>
        <v>Corporación Autónoma Regional del Atlántico – CRA</v>
      </c>
      <c r="B2" s="1419"/>
      <c r="C2" s="1419"/>
      <c r="D2" s="1419"/>
      <c r="E2" s="1419"/>
      <c r="F2" s="1419"/>
      <c r="G2" s="1419"/>
      <c r="H2" s="1419"/>
      <c r="I2" s="1419"/>
      <c r="J2" s="1419"/>
      <c r="K2" s="1419"/>
      <c r="L2" s="1419"/>
      <c r="M2" s="1419"/>
      <c r="N2" s="1419"/>
      <c r="O2" s="1419"/>
      <c r="P2" s="1420"/>
      <c r="Q2"/>
      <c r="R2"/>
    </row>
    <row r="3" spans="1:21" s="315" customFormat="1" ht="16.2" thickBot="1">
      <c r="A3" s="1426" t="s">
        <v>1295</v>
      </c>
      <c r="B3" s="1427"/>
      <c r="C3" s="1427"/>
      <c r="D3" s="1427"/>
      <c r="E3" s="1427"/>
      <c r="F3" s="1427"/>
      <c r="G3" s="1427"/>
      <c r="H3" s="1427"/>
      <c r="I3" s="1427"/>
      <c r="J3" s="1427"/>
      <c r="K3" s="1427"/>
      <c r="L3" s="1427"/>
      <c r="M3" s="1427"/>
      <c r="N3" s="1427"/>
      <c r="O3" s="1427"/>
      <c r="P3" s="1428"/>
      <c r="Q3"/>
      <c r="R3"/>
    </row>
    <row r="4" spans="1:21" s="315" customFormat="1" ht="16.2" thickBot="1">
      <c r="A4" s="1424" t="s">
        <v>1294</v>
      </c>
      <c r="B4" s="1425"/>
      <c r="C4" s="1425"/>
      <c r="D4" s="1425"/>
      <c r="E4" s="322" t="str">
        <f>+'[8]Datos Generales'!C6</f>
        <v>2023-II</v>
      </c>
      <c r="F4" s="322"/>
      <c r="G4" s="322"/>
      <c r="H4" s="322"/>
      <c r="I4" s="322"/>
      <c r="J4" s="322"/>
      <c r="K4" s="322"/>
      <c r="L4" s="323"/>
      <c r="M4" s="323"/>
      <c r="N4" s="323"/>
      <c r="O4" s="323"/>
      <c r="P4" s="324"/>
      <c r="Q4"/>
      <c r="R4"/>
    </row>
    <row r="5" spans="1:21" ht="16.5" customHeight="1" thickBot="1">
      <c r="A5" s="1426" t="s">
        <v>939</v>
      </c>
      <c r="B5" s="1427"/>
      <c r="C5" s="1427"/>
      <c r="D5" s="1427"/>
      <c r="E5" s="1427"/>
      <c r="F5" s="1427"/>
      <c r="G5" s="1427"/>
      <c r="H5" s="1427"/>
      <c r="I5" s="1427"/>
      <c r="J5" s="1427"/>
      <c r="K5" s="1427"/>
      <c r="L5" s="1427"/>
      <c r="M5" s="1427"/>
      <c r="N5" s="1427"/>
      <c r="O5" s="1427"/>
      <c r="P5" s="1428"/>
    </row>
    <row r="6" spans="1:21">
      <c r="B6" s="1" t="s">
        <v>1</v>
      </c>
      <c r="C6" s="64"/>
      <c r="D6" s="5"/>
      <c r="E6" s="62"/>
      <c r="F6" s="5" t="s">
        <v>127</v>
      </c>
      <c r="G6" s="5"/>
      <c r="H6" s="5"/>
      <c r="I6" s="5"/>
      <c r="J6" s="5"/>
      <c r="K6" s="5"/>
    </row>
    <row r="7" spans="1:21" ht="15" thickBot="1">
      <c r="B7" s="63"/>
      <c r="C7" s="65"/>
      <c r="D7" s="5"/>
      <c r="E7" s="14"/>
      <c r="F7" s="5" t="s">
        <v>128</v>
      </c>
      <c r="G7" s="5"/>
      <c r="H7" s="5"/>
      <c r="I7" s="5"/>
      <c r="J7" s="5"/>
      <c r="K7" s="5"/>
    </row>
    <row r="8" spans="1:21" ht="15" thickBot="1">
      <c r="B8" s="144" t="s">
        <v>1180</v>
      </c>
      <c r="C8" s="571">
        <v>2023</v>
      </c>
      <c r="D8" s="171">
        <f>IF(E10="NO APLICA","NO APLICA",IF(E11="NO SE REPORTA","SIN INFORMACION",+H21))</f>
        <v>2.4271844660194174E-2</v>
      </c>
      <c r="E8" s="168"/>
      <c r="F8" s="5" t="s">
        <v>129</v>
      </c>
      <c r="G8" s="5"/>
      <c r="H8" s="5"/>
      <c r="I8" s="5"/>
      <c r="J8" s="5"/>
      <c r="K8" s="5"/>
    </row>
    <row r="9" spans="1:21">
      <c r="B9" s="300" t="s">
        <v>1181</v>
      </c>
      <c r="D9" s="5"/>
      <c r="E9" s="5"/>
      <c r="F9" s="5"/>
      <c r="G9" s="5"/>
      <c r="H9" s="5"/>
      <c r="I9" s="5"/>
      <c r="J9" s="5"/>
      <c r="K9" s="5"/>
    </row>
    <row r="10" spans="1:21">
      <c r="B10" s="1429" t="s">
        <v>1236</v>
      </c>
      <c r="C10" s="1429"/>
      <c r="D10" s="1429"/>
      <c r="E10" s="303" t="s">
        <v>1233</v>
      </c>
      <c r="F10" s="1436"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437"/>
      <c r="H10" s="1437"/>
      <c r="I10" s="1437"/>
      <c r="J10" s="1437"/>
      <c r="K10" s="1437"/>
      <c r="L10" s="1437"/>
      <c r="M10" s="1437"/>
      <c r="N10" s="1437"/>
      <c r="O10" s="1437"/>
      <c r="P10" s="1437"/>
      <c r="Q10" s="1437"/>
      <c r="R10" s="1437"/>
      <c r="S10" s="1437"/>
      <c r="T10" s="5"/>
      <c r="U10" s="5"/>
    </row>
    <row r="11" spans="1:21" ht="14.4" customHeight="1">
      <c r="B11" s="302"/>
      <c r="C11" s="67"/>
      <c r="D11" s="144" t="str">
        <f>IF(E10="SI APLICA","¿El indicador no se reporta por limitaciones de información disponible? ","")</f>
        <v xml:space="preserve">¿El indicador no se reporta por limitaciones de información disponible? </v>
      </c>
      <c r="E11" s="304" t="s">
        <v>1235</v>
      </c>
      <c r="F11" s="1430"/>
      <c r="G11" s="1431"/>
      <c r="H11" s="1431"/>
      <c r="I11" s="1431"/>
      <c r="J11" s="1431"/>
      <c r="K11" s="1431"/>
      <c r="L11" s="1431"/>
      <c r="M11" s="1431"/>
      <c r="N11" s="1431"/>
      <c r="O11" s="1431"/>
      <c r="P11" s="1431"/>
      <c r="Q11" s="1431"/>
      <c r="R11" s="1431"/>
      <c r="S11" s="1431"/>
    </row>
    <row r="12" spans="1:21" ht="23.4" customHeight="1">
      <c r="B12" s="300"/>
      <c r="C12" s="67"/>
      <c r="D12" s="144" t="str">
        <f>IF(E11="SI SE REPORTA","¿Qué programas o proyectos del Plan de Acción están asociados al indicador? ","")</f>
        <v xml:space="preserve">¿Qué programas o proyectos del Plan de Acción están asociados al indicador? </v>
      </c>
      <c r="E12" s="1560" t="s">
        <v>1949</v>
      </c>
      <c r="F12" s="1560"/>
      <c r="G12" s="1560"/>
      <c r="H12" s="1560"/>
      <c r="I12" s="1560"/>
      <c r="J12" s="1560"/>
      <c r="K12" s="1560"/>
      <c r="L12" s="1560"/>
      <c r="M12" s="1560"/>
      <c r="N12" s="1560"/>
      <c r="O12" s="1560"/>
      <c r="P12" s="1560"/>
      <c r="Q12" s="1560"/>
      <c r="R12" s="1560"/>
    </row>
    <row r="13" spans="1:21" ht="21.9" customHeight="1">
      <c r="B13" s="300"/>
      <c r="C13" s="67"/>
      <c r="D13" s="144" t="s">
        <v>1238</v>
      </c>
      <c r="E13" s="1738"/>
      <c r="F13" s="1739"/>
      <c r="G13" s="1739"/>
      <c r="H13" s="1739"/>
      <c r="I13" s="1739"/>
      <c r="J13" s="1739"/>
      <c r="K13" s="1739"/>
      <c r="L13" s="1739"/>
      <c r="M13" s="1739"/>
      <c r="N13" s="1739"/>
      <c r="O13" s="1739"/>
      <c r="P13" s="1739"/>
      <c r="Q13" s="1739"/>
      <c r="R13" s="1740"/>
    </row>
    <row r="14" spans="1:21" ht="6.9" customHeight="1" thickBot="1">
      <c r="B14" s="300"/>
      <c r="D14" s="5"/>
      <c r="E14" s="5"/>
      <c r="F14" s="5"/>
      <c r="G14" s="5"/>
      <c r="H14" s="5"/>
      <c r="I14" s="5"/>
      <c r="J14" s="5"/>
      <c r="K14" s="5"/>
    </row>
    <row r="15" spans="1:21">
      <c r="B15" s="1459" t="s">
        <v>2</v>
      </c>
      <c r="C15" s="68"/>
      <c r="D15" s="1450"/>
      <c r="E15" s="1451"/>
      <c r="F15" s="1451"/>
      <c r="G15" s="1451"/>
      <c r="H15" s="1451"/>
      <c r="I15" s="1452"/>
      <c r="J15" s="5"/>
      <c r="K15" s="5"/>
    </row>
    <row r="16" spans="1:21" ht="15" thickBot="1">
      <c r="B16" s="1460"/>
      <c r="C16" s="71"/>
      <c r="D16" s="1472" t="s">
        <v>3</v>
      </c>
      <c r="E16" s="1473"/>
      <c r="F16" s="1473"/>
      <c r="G16" s="1473"/>
      <c r="H16" s="1473"/>
      <c r="I16" s="1474"/>
      <c r="J16" s="5"/>
      <c r="K16" s="5"/>
    </row>
    <row r="17" spans="2:11" ht="21.75" customHeight="1" thickBot="1">
      <c r="B17" s="1460"/>
      <c r="C17" s="73"/>
      <c r="D17" s="588" t="s">
        <v>149</v>
      </c>
      <c r="E17" s="603" t="s">
        <v>19</v>
      </c>
      <c r="F17" s="603" t="s">
        <v>20</v>
      </c>
      <c r="G17" s="603" t="s">
        <v>21</v>
      </c>
      <c r="H17" s="603" t="s">
        <v>22</v>
      </c>
      <c r="I17" s="603" t="s">
        <v>150</v>
      </c>
      <c r="J17" s="5"/>
      <c r="K17" s="5"/>
    </row>
    <row r="18" spans="2:11" ht="36.6" thickBot="1">
      <c r="B18" s="1460"/>
      <c r="C18" s="73"/>
      <c r="D18" s="32" t="s">
        <v>954</v>
      </c>
      <c r="E18" s="547">
        <f>482+17</f>
        <v>499</v>
      </c>
      <c r="F18" s="547">
        <v>444</v>
      </c>
      <c r="G18" s="547">
        <v>377</v>
      </c>
      <c r="H18" s="547">
        <v>412</v>
      </c>
      <c r="I18" s="549">
        <f>SUM(E18:H18)</f>
        <v>1732</v>
      </c>
      <c r="J18" s="5"/>
      <c r="K18" s="5"/>
    </row>
    <row r="19" spans="2:11" ht="36.6" thickBot="1">
      <c r="B19" s="1460"/>
      <c r="C19" s="73"/>
      <c r="D19" s="32" t="s">
        <v>955</v>
      </c>
      <c r="E19" s="547">
        <v>63</v>
      </c>
      <c r="F19" s="547">
        <v>86</v>
      </c>
      <c r="G19" s="547">
        <v>8</v>
      </c>
      <c r="H19" s="547">
        <v>4</v>
      </c>
      <c r="I19" s="549">
        <f>SUM(E19:H19)</f>
        <v>161</v>
      </c>
      <c r="J19" s="5"/>
      <c r="K19" s="5"/>
    </row>
    <row r="20" spans="2:11" ht="24.6" thickBot="1">
      <c r="B20" s="1460"/>
      <c r="C20" s="73"/>
      <c r="D20" s="32" t="s">
        <v>956</v>
      </c>
      <c r="E20" s="547">
        <v>2</v>
      </c>
      <c r="F20" s="547">
        <v>10</v>
      </c>
      <c r="G20" s="547">
        <v>4</v>
      </c>
      <c r="H20" s="547">
        <v>6</v>
      </c>
      <c r="I20" s="549">
        <f>SUM(E20:H20)</f>
        <v>22</v>
      </c>
      <c r="J20" s="5"/>
      <c r="K20" s="5"/>
    </row>
    <row r="21" spans="2:11" ht="24.6" thickBot="1">
      <c r="B21" s="1461"/>
      <c r="C21" s="2"/>
      <c r="D21" s="32" t="s">
        <v>957</v>
      </c>
      <c r="E21" s="553">
        <f>+(E19+E20)/E18</f>
        <v>0.13026052104208416</v>
      </c>
      <c r="F21" s="553">
        <f>+(F19+F20)/F18</f>
        <v>0.21621621621621623</v>
      </c>
      <c r="G21" s="553">
        <f>+(G19+G20)/G18</f>
        <v>3.1830238726790451E-2</v>
      </c>
      <c r="H21" s="553">
        <f>+(H19+H20)/H18</f>
        <v>2.4271844660194174E-2</v>
      </c>
      <c r="I21" s="553">
        <f>+(I19+I20)/I18</f>
        <v>0.1056581986143187</v>
      </c>
      <c r="J21" s="5"/>
      <c r="K21" s="5"/>
    </row>
    <row r="22" spans="2:11" ht="36" customHeight="1" thickBot="1">
      <c r="B22" s="37" t="s">
        <v>33</v>
      </c>
      <c r="C22" s="72"/>
      <c r="D22" s="1462" t="s">
        <v>958</v>
      </c>
      <c r="E22" s="1463"/>
      <c r="F22" s="1463"/>
      <c r="G22" s="1463"/>
      <c r="H22" s="1463"/>
      <c r="I22" s="1464"/>
      <c r="J22" s="5"/>
      <c r="K22" s="5"/>
    </row>
    <row r="23" spans="2:11" ht="36" customHeight="1" thickBot="1">
      <c r="B23" s="37" t="s">
        <v>35</v>
      </c>
      <c r="C23" s="72"/>
      <c r="D23" s="1462" t="s">
        <v>158</v>
      </c>
      <c r="E23" s="1463"/>
      <c r="F23" s="1463"/>
      <c r="G23" s="1463"/>
      <c r="H23" s="1463"/>
      <c r="I23" s="1464"/>
      <c r="J23" s="5"/>
      <c r="K23" s="5"/>
    </row>
    <row r="24" spans="2:11" ht="15" thickBot="1">
      <c r="B24" s="1"/>
      <c r="C24" s="64"/>
      <c r="D24" s="5"/>
      <c r="E24" s="5"/>
      <c r="F24" s="5"/>
      <c r="G24" s="5"/>
      <c r="H24" s="5"/>
      <c r="I24" s="5"/>
      <c r="J24" s="5"/>
      <c r="K24" s="5"/>
    </row>
    <row r="25" spans="2:11" ht="24" customHeight="1" thickBot="1">
      <c r="B25" s="1469" t="s">
        <v>37</v>
      </c>
      <c r="C25" s="1470"/>
      <c r="D25" s="1470"/>
      <c r="E25" s="1471"/>
      <c r="F25" s="5"/>
      <c r="G25" s="5"/>
      <c r="H25" s="5"/>
      <c r="I25" s="5"/>
      <c r="J25" s="5"/>
      <c r="K25" s="5"/>
    </row>
    <row r="26" spans="2:11" ht="26.25" customHeight="1" thickBot="1">
      <c r="B26" s="1459">
        <v>1</v>
      </c>
      <c r="C26" s="73"/>
      <c r="D26" s="38" t="s">
        <v>38</v>
      </c>
      <c r="E26" s="901" t="s">
        <v>1814</v>
      </c>
      <c r="F26" s="5"/>
      <c r="G26" s="5"/>
      <c r="H26" s="5"/>
      <c r="I26" s="5"/>
      <c r="J26" s="5"/>
      <c r="K26" s="5"/>
    </row>
    <row r="27" spans="2:11" ht="24.6" thickBot="1">
      <c r="B27" s="1460"/>
      <c r="C27" s="73"/>
      <c r="D27" s="32" t="s">
        <v>39</v>
      </c>
      <c r="E27" s="569" t="s">
        <v>1888</v>
      </c>
      <c r="F27" s="5"/>
      <c r="G27" s="5"/>
      <c r="H27" s="5"/>
      <c r="I27" s="5"/>
      <c r="J27" s="5"/>
      <c r="K27" s="5"/>
    </row>
    <row r="28" spans="2:11" ht="15" thickBot="1">
      <c r="B28" s="1460"/>
      <c r="C28" s="73"/>
      <c r="D28" s="32" t="s">
        <v>40</v>
      </c>
      <c r="E28" s="569" t="s">
        <v>2048</v>
      </c>
      <c r="F28" s="5"/>
      <c r="G28" s="5"/>
      <c r="H28" s="5"/>
      <c r="I28" s="5"/>
      <c r="J28" s="5"/>
      <c r="K28" s="5"/>
    </row>
    <row r="29" spans="2:11" ht="15" thickBot="1">
      <c r="B29" s="1460"/>
      <c r="C29" s="73"/>
      <c r="D29" s="32" t="s">
        <v>41</v>
      </c>
      <c r="E29" s="190" t="s">
        <v>2050</v>
      </c>
      <c r="F29" s="5"/>
      <c r="G29" s="5"/>
      <c r="H29" s="5"/>
      <c r="I29" s="5"/>
      <c r="J29" s="5"/>
      <c r="K29" s="5"/>
    </row>
    <row r="30" spans="2:11" ht="29.4" thickBot="1">
      <c r="B30" s="1460"/>
      <c r="C30" s="73"/>
      <c r="D30" s="32" t="s">
        <v>42</v>
      </c>
      <c r="E30" s="902" t="s">
        <v>2038</v>
      </c>
      <c r="F30" s="5"/>
      <c r="G30" s="5"/>
      <c r="H30" s="5"/>
      <c r="I30" s="5"/>
      <c r="J30" s="5"/>
      <c r="K30" s="5"/>
    </row>
    <row r="31" spans="2:11" ht="15" thickBot="1">
      <c r="B31" s="1460"/>
      <c r="C31" s="73"/>
      <c r="D31" s="32" t="s">
        <v>43</v>
      </c>
      <c r="E31" s="569" t="s">
        <v>1826</v>
      </c>
      <c r="F31" s="5"/>
      <c r="G31" s="5"/>
      <c r="H31" s="5"/>
      <c r="I31" s="5"/>
      <c r="J31" s="5"/>
      <c r="K31" s="5"/>
    </row>
    <row r="32" spans="2:11" ht="15" thickBot="1">
      <c r="B32" s="1461"/>
      <c r="C32" s="2"/>
      <c r="D32" s="32" t="s">
        <v>44</v>
      </c>
      <c r="E32" s="569" t="s">
        <v>1817</v>
      </c>
      <c r="F32" s="5"/>
      <c r="G32" s="5"/>
      <c r="H32" s="5"/>
      <c r="I32" s="5"/>
      <c r="J32" s="5"/>
      <c r="K32" s="5"/>
    </row>
    <row r="33" spans="2:11" ht="15" thickBot="1">
      <c r="B33" s="1"/>
      <c r="C33" s="64"/>
      <c r="D33" s="5"/>
      <c r="E33" s="5"/>
      <c r="F33" s="5"/>
      <c r="G33" s="5"/>
      <c r="H33" s="5"/>
      <c r="I33" s="5"/>
      <c r="J33" s="5"/>
      <c r="K33" s="5"/>
    </row>
    <row r="34" spans="2:11" ht="15" thickBot="1">
      <c r="B34" s="1469" t="s">
        <v>45</v>
      </c>
      <c r="C34" s="1470"/>
      <c r="D34" s="1470"/>
      <c r="E34" s="1471"/>
      <c r="F34" s="5"/>
      <c r="G34" s="5"/>
      <c r="H34" s="5"/>
      <c r="I34" s="5"/>
      <c r="J34" s="5"/>
      <c r="K34" s="5"/>
    </row>
    <row r="35" spans="2:11" ht="24.6" thickBot="1">
      <c r="B35" s="1459">
        <v>1</v>
      </c>
      <c r="C35" s="73"/>
      <c r="D35" s="38" t="s">
        <v>38</v>
      </c>
      <c r="E35" s="28" t="s">
        <v>46</v>
      </c>
      <c r="F35" s="5"/>
      <c r="G35" s="5"/>
      <c r="H35" s="5"/>
      <c r="I35" s="5"/>
      <c r="J35" s="5"/>
      <c r="K35" s="5"/>
    </row>
    <row r="36" spans="2:11" ht="36.6" thickBot="1">
      <c r="B36" s="1460"/>
      <c r="C36" s="73"/>
      <c r="D36" s="32" t="s">
        <v>39</v>
      </c>
      <c r="E36" s="626" t="s">
        <v>47</v>
      </c>
      <c r="F36" s="5"/>
      <c r="G36" s="5"/>
      <c r="H36" s="5"/>
      <c r="I36" s="5"/>
      <c r="J36" s="5"/>
      <c r="K36" s="5"/>
    </row>
    <row r="37" spans="2:11" ht="15" thickBot="1">
      <c r="B37" s="1460"/>
      <c r="C37" s="73"/>
      <c r="D37" s="32" t="s">
        <v>40</v>
      </c>
      <c r="E37" s="138"/>
      <c r="F37" s="5"/>
      <c r="G37" s="5"/>
      <c r="H37" s="5"/>
      <c r="I37" s="5"/>
      <c r="J37" s="5"/>
      <c r="K37" s="5"/>
    </row>
    <row r="38" spans="2:11" ht="15" thickBot="1">
      <c r="B38" s="1460"/>
      <c r="C38" s="73"/>
      <c r="D38" s="32" t="s">
        <v>41</v>
      </c>
      <c r="E38" s="138"/>
      <c r="F38" s="5"/>
      <c r="G38" s="5"/>
      <c r="H38" s="5"/>
      <c r="I38" s="5"/>
      <c r="J38" s="5"/>
      <c r="K38" s="5"/>
    </row>
    <row r="39" spans="2:11" ht="15" thickBot="1">
      <c r="B39" s="1460"/>
      <c r="C39" s="73"/>
      <c r="D39" s="32" t="s">
        <v>42</v>
      </c>
      <c r="E39" s="138"/>
      <c r="F39" s="5"/>
      <c r="G39" s="5"/>
      <c r="H39" s="5"/>
      <c r="I39" s="5"/>
      <c r="J39" s="5"/>
      <c r="K39" s="5"/>
    </row>
    <row r="40" spans="2:11" ht="15" thickBot="1">
      <c r="B40" s="1460"/>
      <c r="C40" s="73"/>
      <c r="D40" s="32" t="s">
        <v>43</v>
      </c>
      <c r="E40" s="138"/>
      <c r="F40" s="5"/>
      <c r="G40" s="5"/>
      <c r="H40" s="5"/>
      <c r="I40" s="5"/>
      <c r="J40" s="5"/>
      <c r="K40" s="5"/>
    </row>
    <row r="41" spans="2:11" ht="15" thickBot="1">
      <c r="B41" s="1461"/>
      <c r="C41" s="2"/>
      <c r="D41" s="32" t="s">
        <v>44</v>
      </c>
      <c r="E41" s="138"/>
      <c r="F41" s="5"/>
      <c r="G41" s="5"/>
      <c r="H41" s="5"/>
      <c r="I41" s="5"/>
      <c r="J41" s="5"/>
      <c r="K41" s="5"/>
    </row>
    <row r="42" spans="2:11" ht="15" thickBot="1">
      <c r="B42" s="1"/>
      <c r="C42" s="64"/>
      <c r="D42" s="5"/>
      <c r="E42" s="5"/>
      <c r="F42" s="5"/>
      <c r="G42" s="5"/>
      <c r="H42" s="5"/>
      <c r="I42" s="5"/>
      <c r="J42" s="5"/>
      <c r="K42" s="5"/>
    </row>
    <row r="43" spans="2:11" ht="15" customHeight="1" thickBot="1">
      <c r="B43" s="100" t="s">
        <v>48</v>
      </c>
      <c r="C43" s="101"/>
      <c r="D43" s="101"/>
      <c r="E43" s="102"/>
      <c r="G43" s="5"/>
      <c r="H43" s="5"/>
      <c r="I43" s="5"/>
      <c r="J43" s="5"/>
      <c r="K43" s="5"/>
    </row>
    <row r="44" spans="2:11" ht="24.6" thickBot="1">
      <c r="B44" s="37" t="s">
        <v>49</v>
      </c>
      <c r="C44" s="32" t="s">
        <v>50</v>
      </c>
      <c r="D44" s="32" t="s">
        <v>51</v>
      </c>
      <c r="E44" s="32" t="s">
        <v>52</v>
      </c>
      <c r="F44" s="5"/>
      <c r="G44" s="5"/>
      <c r="H44" s="5"/>
      <c r="I44" s="5"/>
      <c r="J44" s="5"/>
    </row>
    <row r="45" spans="2:11" ht="60.6" thickBot="1">
      <c r="B45" s="39">
        <v>42401</v>
      </c>
      <c r="C45" s="32">
        <v>0.01</v>
      </c>
      <c r="D45" s="40" t="s">
        <v>959</v>
      </c>
      <c r="E45" s="32"/>
      <c r="F45" s="5"/>
      <c r="G45" s="5"/>
      <c r="H45" s="5"/>
      <c r="I45" s="5"/>
      <c r="J45" s="5"/>
    </row>
    <row r="46" spans="2:11" ht="15" thickBot="1">
      <c r="B46" s="1"/>
      <c r="C46" s="64"/>
      <c r="D46" s="5"/>
      <c r="E46" s="5"/>
      <c r="F46" s="5"/>
      <c r="G46" s="5"/>
      <c r="H46" s="5"/>
      <c r="I46" s="5"/>
      <c r="J46" s="5"/>
      <c r="K46" s="5"/>
    </row>
    <row r="47" spans="2:11">
      <c r="B47" s="106" t="s">
        <v>54</v>
      </c>
      <c r="C47" s="75"/>
      <c r="D47" s="5"/>
      <c r="E47" s="5"/>
      <c r="F47" s="5"/>
      <c r="G47" s="5"/>
      <c r="H47" s="5"/>
      <c r="I47" s="5"/>
      <c r="J47" s="5"/>
      <c r="K47" s="5"/>
    </row>
    <row r="48" spans="2:11">
      <c r="B48" s="1732"/>
      <c r="C48" s="1733"/>
      <c r="D48" s="1733"/>
      <c r="E48" s="1734"/>
      <c r="F48" s="5"/>
      <c r="G48" s="5"/>
      <c r="H48" s="5"/>
      <c r="I48" s="5"/>
      <c r="J48" s="5"/>
      <c r="K48" s="5"/>
    </row>
    <row r="49" spans="2:11">
      <c r="B49" s="1735"/>
      <c r="C49" s="1736"/>
      <c r="D49" s="1736"/>
      <c r="E49" s="1737"/>
      <c r="F49" s="5"/>
      <c r="G49" s="5"/>
      <c r="H49" s="5"/>
      <c r="I49" s="5"/>
      <c r="J49" s="5"/>
      <c r="K49" s="5"/>
    </row>
    <row r="50" spans="2:11" ht="15" thickBot="1">
      <c r="B50" s="5"/>
      <c r="D50" s="5"/>
      <c r="E50" s="5"/>
      <c r="F50" s="5"/>
      <c r="G50" s="5"/>
      <c r="H50" s="5"/>
      <c r="I50" s="5"/>
      <c r="J50" s="5"/>
      <c r="K50" s="5"/>
    </row>
    <row r="51" spans="2:11" ht="24.6" thickBot="1">
      <c r="B51" s="41" t="s">
        <v>55</v>
      </c>
      <c r="C51" s="76"/>
      <c r="D51" s="5"/>
      <c r="E51" s="5"/>
      <c r="F51" s="5"/>
      <c r="G51" s="5"/>
      <c r="H51" s="5"/>
      <c r="I51" s="5"/>
      <c r="J51" s="5"/>
      <c r="K51" s="5"/>
    </row>
    <row r="52" spans="2:11" ht="15" thickBot="1">
      <c r="B52" s="1"/>
      <c r="C52" s="64"/>
      <c r="D52" s="5"/>
      <c r="E52" s="5"/>
      <c r="F52" s="5"/>
      <c r="G52" s="5"/>
      <c r="H52" s="5"/>
      <c r="I52" s="5"/>
      <c r="J52" s="5"/>
      <c r="K52" s="5"/>
    </row>
    <row r="53" spans="2:11" ht="84.6" thickBot="1">
      <c r="B53" s="42" t="s">
        <v>56</v>
      </c>
      <c r="C53" s="77"/>
      <c r="D53" s="34" t="s">
        <v>940</v>
      </c>
      <c r="E53" s="5"/>
      <c r="F53" s="5"/>
      <c r="G53" s="5"/>
      <c r="H53" s="5"/>
      <c r="I53" s="5"/>
      <c r="J53" s="5"/>
      <c r="K53" s="5"/>
    </row>
    <row r="54" spans="2:11">
      <c r="B54" s="1459" t="s">
        <v>58</v>
      </c>
      <c r="C54" s="73"/>
      <c r="D54" s="43" t="s">
        <v>59</v>
      </c>
      <c r="E54" s="5"/>
      <c r="F54" s="5"/>
      <c r="G54" s="5"/>
      <c r="H54" s="5"/>
      <c r="I54" s="5"/>
      <c r="J54" s="5"/>
      <c r="K54" s="5"/>
    </row>
    <row r="55" spans="2:11" ht="60">
      <c r="B55" s="1460"/>
      <c r="C55" s="73"/>
      <c r="D55" s="43" t="s">
        <v>941</v>
      </c>
      <c r="E55" s="5"/>
      <c r="F55" s="5"/>
      <c r="G55" s="5"/>
      <c r="H55" s="5"/>
      <c r="I55" s="5"/>
      <c r="J55" s="5"/>
      <c r="K55" s="5"/>
    </row>
    <row r="56" spans="2:11">
      <c r="B56" s="1460"/>
      <c r="C56" s="73"/>
      <c r="D56" s="43" t="s">
        <v>133</v>
      </c>
      <c r="E56" s="5"/>
      <c r="F56" s="5"/>
      <c r="G56" s="5"/>
      <c r="H56" s="5"/>
      <c r="I56" s="5"/>
      <c r="J56" s="5"/>
      <c r="K56" s="5"/>
    </row>
    <row r="57" spans="2:11">
      <c r="B57" s="1460"/>
      <c r="C57" s="73"/>
      <c r="D57" s="36" t="s">
        <v>942</v>
      </c>
      <c r="E57" s="5"/>
      <c r="F57" s="5"/>
      <c r="G57" s="5"/>
      <c r="H57" s="5"/>
      <c r="I57" s="5"/>
      <c r="J57" s="5"/>
      <c r="K57" s="5"/>
    </row>
    <row r="58" spans="2:11" ht="24">
      <c r="B58" s="1460"/>
      <c r="C58" s="73"/>
      <c r="D58" s="36" t="s">
        <v>943</v>
      </c>
      <c r="E58" s="5"/>
      <c r="F58" s="5"/>
      <c r="G58" s="5"/>
      <c r="H58" s="5"/>
      <c r="I58" s="5"/>
      <c r="J58" s="5"/>
      <c r="K58" s="5"/>
    </row>
    <row r="59" spans="2:11" ht="15" thickBot="1">
      <c r="B59" s="1461"/>
      <c r="C59" s="2"/>
      <c r="D59" s="32" t="s">
        <v>64</v>
      </c>
      <c r="E59" s="5"/>
      <c r="F59" s="5"/>
      <c r="G59" s="5"/>
      <c r="H59" s="5"/>
      <c r="I59" s="5"/>
      <c r="J59" s="5"/>
      <c r="K59" s="5"/>
    </row>
    <row r="60" spans="2:11" ht="24.6" thickBot="1">
      <c r="B60" s="37" t="s">
        <v>71</v>
      </c>
      <c r="C60" s="2"/>
      <c r="D60" s="32"/>
      <c r="E60" s="5"/>
      <c r="F60" s="5"/>
      <c r="G60" s="5"/>
      <c r="H60" s="5"/>
      <c r="I60" s="5"/>
      <c r="J60" s="5"/>
      <c r="K60" s="5"/>
    </row>
    <row r="61" spans="2:11" ht="108">
      <c r="B61" s="1459" t="s">
        <v>72</v>
      </c>
      <c r="C61" s="73"/>
      <c r="D61" s="36" t="s">
        <v>944</v>
      </c>
      <c r="E61" s="5"/>
      <c r="F61" s="5"/>
      <c r="G61" s="5"/>
      <c r="H61" s="5"/>
      <c r="I61" s="5"/>
      <c r="J61" s="5"/>
      <c r="K61" s="5"/>
    </row>
    <row r="62" spans="2:11" ht="264">
      <c r="B62" s="1460"/>
      <c r="C62" s="73"/>
      <c r="D62" s="36" t="s">
        <v>945</v>
      </c>
      <c r="E62" s="5"/>
      <c r="F62" s="5"/>
      <c r="G62" s="5"/>
      <c r="H62" s="5"/>
      <c r="I62" s="5"/>
      <c r="J62" s="5"/>
      <c r="K62" s="5"/>
    </row>
    <row r="63" spans="2:11" ht="72">
      <c r="B63" s="1460"/>
      <c r="C63" s="73"/>
      <c r="D63" s="36" t="s">
        <v>946</v>
      </c>
      <c r="E63" s="5"/>
      <c r="F63" s="5"/>
      <c r="G63" s="5"/>
      <c r="H63" s="5"/>
      <c r="I63" s="5"/>
      <c r="J63" s="5"/>
      <c r="K63" s="5"/>
    </row>
    <row r="64" spans="2:11" ht="60">
      <c r="B64" s="1460"/>
      <c r="C64" s="73"/>
      <c r="D64" s="36" t="s">
        <v>947</v>
      </c>
      <c r="E64" s="5"/>
      <c r="F64" s="5"/>
      <c r="G64" s="5"/>
      <c r="H64" s="5"/>
      <c r="I64" s="5"/>
      <c r="J64" s="5"/>
      <c r="K64" s="5"/>
    </row>
    <row r="65" spans="2:11" ht="48.6" thickBot="1">
      <c r="B65" s="1461"/>
      <c r="C65" s="2"/>
      <c r="D65" s="32" t="s">
        <v>948</v>
      </c>
      <c r="E65" s="5"/>
      <c r="F65" s="5"/>
      <c r="G65" s="5"/>
      <c r="H65" s="5"/>
      <c r="I65" s="5"/>
      <c r="J65" s="5"/>
      <c r="K65" s="5"/>
    </row>
    <row r="66" spans="2:11">
      <c r="B66" s="1459" t="s">
        <v>89</v>
      </c>
      <c r="C66" s="73"/>
      <c r="D66" s="36"/>
      <c r="E66" s="5"/>
      <c r="F66" s="5"/>
      <c r="G66" s="5"/>
      <c r="H66" s="5"/>
      <c r="I66" s="5"/>
      <c r="J66" s="5"/>
      <c r="K66" s="5"/>
    </row>
    <row r="67" spans="2:11">
      <c r="B67" s="1460"/>
      <c r="C67" s="73"/>
      <c r="D67" s="13"/>
      <c r="E67" s="5"/>
      <c r="F67" s="5"/>
      <c r="G67" s="5"/>
      <c r="H67" s="5"/>
      <c r="I67" s="5"/>
      <c r="J67" s="5"/>
      <c r="K67" s="5"/>
    </row>
    <row r="68" spans="2:11">
      <c r="B68" s="1460"/>
      <c r="C68" s="73"/>
      <c r="D68" s="36" t="s">
        <v>90</v>
      </c>
      <c r="E68" s="5"/>
      <c r="F68" s="5"/>
      <c r="G68" s="5"/>
      <c r="H68" s="5"/>
      <c r="I68" s="5"/>
      <c r="J68" s="5"/>
      <c r="K68" s="5"/>
    </row>
    <row r="69" spans="2:11" ht="26.4">
      <c r="B69" s="1460"/>
      <c r="C69" s="73"/>
      <c r="D69" s="36" t="s">
        <v>949</v>
      </c>
      <c r="E69" s="5"/>
      <c r="F69" s="5"/>
      <c r="G69" s="5"/>
      <c r="H69" s="5"/>
      <c r="I69" s="5"/>
      <c r="J69" s="5"/>
      <c r="K69" s="5"/>
    </row>
    <row r="70" spans="2:11" ht="38.4">
      <c r="B70" s="1460"/>
      <c r="C70" s="73"/>
      <c r="D70" s="36" t="s">
        <v>950</v>
      </c>
      <c r="E70" s="5"/>
      <c r="F70" s="5"/>
      <c r="G70" s="5"/>
      <c r="H70" s="5"/>
      <c r="I70" s="5"/>
      <c r="J70" s="5"/>
      <c r="K70" s="5"/>
    </row>
    <row r="71" spans="2:11" ht="38.4">
      <c r="B71" s="1460"/>
      <c r="C71" s="73"/>
      <c r="D71" s="36" t="s">
        <v>951</v>
      </c>
      <c r="E71" s="5"/>
      <c r="F71" s="5"/>
      <c r="G71" s="5"/>
      <c r="H71" s="5"/>
      <c r="I71" s="5"/>
      <c r="J71" s="5"/>
      <c r="K71" s="5"/>
    </row>
    <row r="72" spans="2:11" ht="36">
      <c r="B72" s="1460"/>
      <c r="C72" s="73"/>
      <c r="D72" s="36" t="s">
        <v>952</v>
      </c>
      <c r="E72" s="5"/>
      <c r="F72" s="5"/>
      <c r="G72" s="5"/>
      <c r="H72" s="5"/>
      <c r="I72" s="5"/>
      <c r="J72" s="5"/>
      <c r="K72" s="5"/>
    </row>
    <row r="73" spans="2:11" ht="120.6" thickBot="1">
      <c r="B73" s="1461"/>
      <c r="C73" s="2"/>
      <c r="D73" s="32" t="s">
        <v>953</v>
      </c>
      <c r="E73" s="5"/>
      <c r="F73" s="5"/>
      <c r="G73" s="5"/>
      <c r="H73" s="5"/>
      <c r="I73" s="5"/>
      <c r="J73" s="5"/>
      <c r="K73" s="5"/>
    </row>
    <row r="74" spans="2:11">
      <c r="B74" s="5"/>
      <c r="D74" s="5"/>
      <c r="E74" s="5"/>
      <c r="F74" s="5"/>
      <c r="G74" s="5"/>
      <c r="H74" s="5"/>
      <c r="I74" s="5"/>
      <c r="J74" s="5"/>
      <c r="K74" s="5"/>
    </row>
    <row r="75" spans="2:11">
      <c r="B75" s="5"/>
      <c r="D75" s="5"/>
      <c r="E75" s="5"/>
      <c r="F75" s="5"/>
      <c r="G75" s="5"/>
      <c r="H75" s="5"/>
      <c r="I75" s="5"/>
      <c r="J75" s="5"/>
      <c r="K75" s="5"/>
    </row>
    <row r="76" spans="2:11">
      <c r="B76" s="5"/>
      <c r="D76" s="5"/>
      <c r="E76" s="5"/>
      <c r="F76" s="5"/>
      <c r="G76" s="5"/>
      <c r="H76" s="5"/>
      <c r="I76" s="5"/>
      <c r="J76" s="5"/>
      <c r="K76" s="5"/>
    </row>
    <row r="77" spans="2:11">
      <c r="B77" s="5"/>
      <c r="D77" s="5"/>
      <c r="E77" s="5"/>
      <c r="F77" s="5"/>
      <c r="G77" s="5"/>
      <c r="H77" s="5"/>
      <c r="I77" s="5"/>
      <c r="J77" s="5"/>
      <c r="K77" s="5"/>
    </row>
    <row r="78" spans="2:11">
      <c r="B78" s="5"/>
      <c r="D78" s="5"/>
      <c r="E78" s="5"/>
      <c r="F78" s="5"/>
      <c r="G78" s="5"/>
      <c r="H78" s="5"/>
      <c r="I78" s="5"/>
      <c r="J78" s="5"/>
      <c r="K78" s="5"/>
    </row>
    <row r="79" spans="2:11">
      <c r="B79" s="5"/>
      <c r="D79" s="5"/>
      <c r="E79" s="5"/>
      <c r="F79" s="5"/>
      <c r="G79" s="5"/>
      <c r="H79" s="5"/>
      <c r="I79" s="5"/>
      <c r="J79" s="5"/>
      <c r="K79" s="5"/>
    </row>
    <row r="80" spans="2:11">
      <c r="B80" s="5"/>
      <c r="D80" s="5"/>
      <c r="E80" s="5"/>
      <c r="F80" s="5"/>
      <c r="G80" s="5"/>
      <c r="H80" s="5"/>
      <c r="I80" s="5"/>
      <c r="J80" s="5"/>
      <c r="K80" s="5"/>
    </row>
    <row r="81" spans="2:11">
      <c r="B81" s="5"/>
      <c r="D81" s="5"/>
      <c r="E81" s="5"/>
      <c r="F81" s="5"/>
      <c r="G81" s="5"/>
      <c r="H81" s="5"/>
      <c r="I81" s="5"/>
      <c r="J81" s="5"/>
      <c r="K81" s="5"/>
    </row>
    <row r="82" spans="2:11">
      <c r="B82" s="5"/>
      <c r="D82" s="5"/>
      <c r="E82" s="5"/>
      <c r="F82" s="5"/>
      <c r="G82" s="5"/>
      <c r="H82" s="5"/>
      <c r="I82" s="5"/>
      <c r="J82" s="5"/>
      <c r="K82" s="5"/>
    </row>
    <row r="83" spans="2:11">
      <c r="B83" s="5"/>
      <c r="D83" s="5"/>
      <c r="E83" s="5"/>
      <c r="F83" s="5"/>
      <c r="G83" s="5"/>
      <c r="H83" s="5"/>
      <c r="I83" s="5"/>
      <c r="J83" s="5"/>
      <c r="K83" s="5"/>
    </row>
    <row r="84" spans="2:11">
      <c r="B84" s="5"/>
      <c r="D84" s="5"/>
      <c r="E84" s="5"/>
      <c r="F84" s="5"/>
      <c r="G84" s="5"/>
      <c r="H84" s="5"/>
      <c r="I84" s="5"/>
      <c r="J84" s="5"/>
      <c r="K84" s="5"/>
    </row>
    <row r="85" spans="2:11">
      <c r="B85" s="5"/>
      <c r="D85" s="5"/>
      <c r="E85" s="5"/>
      <c r="F85" s="5"/>
      <c r="G85" s="5"/>
      <c r="H85" s="5"/>
      <c r="I85" s="5"/>
      <c r="J85" s="5"/>
      <c r="K85" s="5"/>
    </row>
    <row r="86" spans="2:11">
      <c r="B86" s="5"/>
      <c r="D86" s="5"/>
      <c r="E86" s="5"/>
      <c r="F86" s="5"/>
      <c r="G86" s="5"/>
      <c r="H86" s="5"/>
      <c r="I86" s="5"/>
      <c r="J86" s="5"/>
      <c r="K86" s="5"/>
    </row>
    <row r="87" spans="2:11">
      <c r="B87" s="5"/>
      <c r="D87" s="5"/>
      <c r="E87" s="5"/>
      <c r="F87" s="5"/>
      <c r="G87" s="5"/>
      <c r="H87" s="5"/>
      <c r="I87" s="5"/>
      <c r="J87" s="5"/>
      <c r="K87" s="5"/>
    </row>
    <row r="88" spans="2:11">
      <c r="B88" s="5"/>
      <c r="D88" s="5"/>
      <c r="E88" s="5"/>
      <c r="F88" s="5"/>
      <c r="G88" s="5"/>
      <c r="H88" s="5"/>
      <c r="I88" s="5"/>
      <c r="J88" s="5"/>
      <c r="K88" s="5"/>
    </row>
    <row r="89" spans="2:11">
      <c r="B89" s="5"/>
      <c r="D89" s="5"/>
      <c r="E89" s="5"/>
      <c r="F89" s="5"/>
      <c r="G89" s="5"/>
      <c r="H89" s="5"/>
      <c r="I89" s="5"/>
      <c r="J89" s="5"/>
      <c r="K89" s="5"/>
    </row>
    <row r="90" spans="2:11">
      <c r="B90" s="5"/>
      <c r="D90" s="5"/>
      <c r="E90" s="5"/>
      <c r="F90" s="5"/>
      <c r="G90" s="5"/>
      <c r="H90" s="5"/>
      <c r="I90" s="5"/>
      <c r="J90" s="5"/>
      <c r="K90" s="5"/>
    </row>
    <row r="91" spans="2:11">
      <c r="B91" s="5"/>
      <c r="D91" s="5"/>
      <c r="E91" s="5"/>
      <c r="F91" s="5"/>
      <c r="G91" s="5"/>
      <c r="H91" s="5"/>
      <c r="I91" s="5"/>
      <c r="J91" s="5"/>
      <c r="K91" s="5"/>
    </row>
    <row r="92" spans="2:11">
      <c r="B92" s="5"/>
      <c r="D92" s="5"/>
      <c r="E92" s="5"/>
      <c r="F92" s="5"/>
      <c r="G92" s="5"/>
      <c r="H92" s="5"/>
      <c r="I92" s="5"/>
      <c r="J92" s="5"/>
      <c r="K92" s="5"/>
    </row>
    <row r="93" spans="2:11">
      <c r="B93" s="5"/>
      <c r="D93" s="5"/>
      <c r="E93" s="5"/>
      <c r="F93" s="5"/>
      <c r="G93" s="5"/>
      <c r="H93" s="5"/>
      <c r="I93" s="5"/>
      <c r="J93" s="5"/>
      <c r="K93" s="5"/>
    </row>
    <row r="94" spans="2:11">
      <c r="B94" s="5"/>
      <c r="D94" s="5"/>
      <c r="E94" s="5"/>
      <c r="F94" s="5"/>
      <c r="G94" s="5"/>
      <c r="H94" s="5"/>
      <c r="I94" s="5"/>
      <c r="J94" s="5"/>
      <c r="K94" s="5"/>
    </row>
    <row r="95" spans="2:11">
      <c r="B95" s="5"/>
      <c r="D95" s="5"/>
      <c r="E95" s="5"/>
      <c r="F95" s="5"/>
      <c r="G95" s="5"/>
      <c r="H95" s="5"/>
      <c r="I95" s="5"/>
      <c r="J95" s="5"/>
      <c r="K95" s="5"/>
    </row>
    <row r="96" spans="2:11">
      <c r="B96" s="5"/>
      <c r="D96" s="5"/>
      <c r="E96" s="5"/>
      <c r="F96" s="5"/>
      <c r="G96" s="5"/>
      <c r="H96" s="5"/>
      <c r="I96" s="5"/>
      <c r="J96" s="5"/>
      <c r="K96" s="5"/>
    </row>
    <row r="97" spans="2:11">
      <c r="B97" s="5"/>
      <c r="D97" s="5"/>
      <c r="E97" s="5"/>
      <c r="F97" s="5"/>
      <c r="G97" s="5"/>
      <c r="H97" s="5"/>
      <c r="I97" s="5"/>
      <c r="J97" s="5"/>
      <c r="K97" s="5"/>
    </row>
    <row r="98" spans="2:11">
      <c r="B98" s="5"/>
      <c r="D98" s="5"/>
      <c r="E98" s="5"/>
      <c r="F98" s="5"/>
      <c r="G98" s="5"/>
      <c r="H98" s="5"/>
      <c r="I98" s="5"/>
      <c r="J98" s="5"/>
      <c r="K98" s="5"/>
    </row>
    <row r="99" spans="2:11">
      <c r="B99" s="5"/>
      <c r="D99" s="5"/>
      <c r="E99" s="5"/>
      <c r="F99" s="5"/>
      <c r="G99" s="5"/>
      <c r="H99" s="5"/>
      <c r="I99" s="5"/>
      <c r="J99" s="5"/>
      <c r="K99" s="5"/>
    </row>
    <row r="100" spans="2:11">
      <c r="B100" s="5"/>
      <c r="D100" s="5"/>
      <c r="E100" s="5"/>
      <c r="F100" s="5"/>
      <c r="G100" s="5"/>
      <c r="H100" s="5"/>
      <c r="I100" s="5"/>
      <c r="J100" s="5"/>
      <c r="K100" s="5"/>
    </row>
    <row r="101" spans="2:11">
      <c r="B101" s="5"/>
      <c r="D101" s="5"/>
      <c r="E101" s="5"/>
      <c r="F101" s="5"/>
      <c r="G101" s="5"/>
      <c r="H101" s="5"/>
      <c r="I101" s="5"/>
      <c r="J101" s="5"/>
      <c r="K101" s="5"/>
    </row>
    <row r="102" spans="2:11">
      <c r="B102" s="5"/>
      <c r="D102" s="5"/>
      <c r="E102" s="5"/>
      <c r="F102" s="5"/>
      <c r="G102" s="5"/>
      <c r="H102" s="5"/>
      <c r="I102" s="5"/>
      <c r="J102" s="5"/>
      <c r="K102" s="5"/>
    </row>
    <row r="103" spans="2:11">
      <c r="B103" s="5"/>
      <c r="D103" s="5"/>
      <c r="E103" s="5"/>
      <c r="F103" s="5"/>
      <c r="G103" s="5"/>
      <c r="H103" s="5"/>
      <c r="I103" s="5"/>
      <c r="J103" s="5"/>
      <c r="K103" s="5"/>
    </row>
    <row r="104" spans="2:11">
      <c r="B104" s="5"/>
      <c r="D104" s="5"/>
      <c r="E104" s="5"/>
      <c r="F104" s="5"/>
      <c r="G104" s="5"/>
      <c r="H104" s="5"/>
      <c r="I104" s="5"/>
      <c r="J104" s="5"/>
      <c r="K104" s="5"/>
    </row>
    <row r="105" spans="2:11">
      <c r="B105" s="5"/>
      <c r="D105" s="5"/>
      <c r="E105" s="5"/>
      <c r="F105" s="5"/>
      <c r="G105" s="5"/>
      <c r="H105" s="5"/>
      <c r="I105" s="5"/>
      <c r="J105" s="5"/>
      <c r="K105" s="5"/>
    </row>
    <row r="106" spans="2:11">
      <c r="B106" s="5"/>
      <c r="D106" s="5"/>
      <c r="E106" s="5"/>
      <c r="F106" s="5"/>
      <c r="G106" s="5"/>
      <c r="H106" s="5"/>
      <c r="I106" s="5"/>
      <c r="J106" s="5"/>
      <c r="K106" s="5"/>
    </row>
    <row r="107" spans="2:11">
      <c r="B107" s="5"/>
      <c r="D107" s="5"/>
      <c r="E107" s="5"/>
      <c r="F107" s="5"/>
      <c r="G107" s="5"/>
      <c r="H107" s="5"/>
      <c r="I107" s="5"/>
      <c r="J107" s="5"/>
      <c r="K107" s="5"/>
    </row>
    <row r="108" spans="2:11">
      <c r="B108" s="5"/>
      <c r="D108" s="5"/>
      <c r="E108" s="5"/>
      <c r="F108" s="5"/>
      <c r="G108" s="5"/>
      <c r="H108" s="5"/>
      <c r="I108" s="5"/>
      <c r="J108" s="5"/>
      <c r="K108" s="5"/>
    </row>
    <row r="109" spans="2:11">
      <c r="B109" s="5"/>
      <c r="D109" s="5"/>
      <c r="E109" s="5"/>
      <c r="F109" s="5"/>
      <c r="G109" s="5"/>
      <c r="H109" s="5"/>
      <c r="I109" s="5"/>
      <c r="J109" s="5"/>
      <c r="K109" s="5"/>
    </row>
    <row r="110" spans="2:11">
      <c r="B110" s="5"/>
      <c r="D110" s="5"/>
      <c r="E110" s="5"/>
      <c r="F110" s="5"/>
      <c r="G110" s="5"/>
      <c r="H110" s="5"/>
      <c r="I110" s="5"/>
      <c r="J110" s="5"/>
      <c r="K110" s="5"/>
    </row>
    <row r="111" spans="2:11">
      <c r="B111" s="5"/>
      <c r="D111" s="5"/>
      <c r="E111" s="5"/>
      <c r="F111" s="5"/>
      <c r="G111" s="5"/>
      <c r="H111" s="5"/>
      <c r="I111" s="5"/>
      <c r="J111" s="5"/>
      <c r="K111" s="5"/>
    </row>
    <row r="112" spans="2:11">
      <c r="B112" s="5"/>
      <c r="D112" s="5"/>
      <c r="E112" s="5"/>
      <c r="F112" s="5"/>
      <c r="G112" s="5"/>
      <c r="H112" s="5"/>
      <c r="I112" s="5"/>
      <c r="J112" s="5"/>
      <c r="K112" s="5"/>
    </row>
    <row r="113" spans="2:11">
      <c r="B113" s="5"/>
      <c r="D113" s="5"/>
      <c r="E113" s="5"/>
      <c r="F113" s="5"/>
      <c r="G113" s="5"/>
      <c r="H113" s="5"/>
      <c r="I113" s="5"/>
      <c r="J113" s="5"/>
      <c r="K113" s="5"/>
    </row>
    <row r="114" spans="2:11">
      <c r="B114" s="5"/>
      <c r="D114" s="5"/>
      <c r="E114" s="5"/>
      <c r="F114" s="5"/>
      <c r="G114" s="5"/>
      <c r="H114" s="5"/>
      <c r="I114" s="5"/>
      <c r="J114" s="5"/>
      <c r="K114" s="5"/>
    </row>
    <row r="115" spans="2:11">
      <c r="B115" s="5"/>
      <c r="D115" s="5"/>
      <c r="E115" s="5"/>
      <c r="F115" s="5"/>
      <c r="G115" s="5"/>
      <c r="H115" s="5"/>
      <c r="I115" s="5"/>
      <c r="J115" s="5"/>
      <c r="K115" s="5"/>
    </row>
    <row r="116" spans="2:11">
      <c r="B116" s="5"/>
      <c r="D116" s="5"/>
      <c r="E116" s="5"/>
      <c r="F116" s="5"/>
      <c r="G116" s="5"/>
      <c r="H116" s="5"/>
      <c r="I116" s="5"/>
      <c r="J116" s="5"/>
      <c r="K116" s="5"/>
    </row>
    <row r="117" spans="2:11">
      <c r="B117" s="5"/>
      <c r="D117" s="5"/>
      <c r="E117" s="5"/>
      <c r="F117" s="5"/>
      <c r="G117" s="5"/>
      <c r="H117" s="5"/>
      <c r="I117" s="5"/>
      <c r="J117" s="5"/>
      <c r="K117" s="5"/>
    </row>
    <row r="118" spans="2:11">
      <c r="B118" s="5"/>
      <c r="D118" s="5"/>
      <c r="E118" s="5"/>
      <c r="F118" s="5"/>
      <c r="G118" s="5"/>
      <c r="H118" s="5"/>
      <c r="I118" s="5"/>
      <c r="J118" s="5"/>
      <c r="K118" s="5"/>
    </row>
    <row r="119" spans="2:11">
      <c r="B119" s="5"/>
      <c r="D119" s="5"/>
      <c r="E119" s="5"/>
      <c r="F119" s="5"/>
      <c r="G119" s="5"/>
      <c r="H119" s="5"/>
      <c r="I119" s="5"/>
      <c r="J119" s="5"/>
      <c r="K119" s="5"/>
    </row>
    <row r="120" spans="2:11">
      <c r="B120" s="5"/>
      <c r="D120" s="5"/>
      <c r="E120" s="5"/>
      <c r="F120" s="5"/>
      <c r="G120" s="5"/>
      <c r="H120" s="5"/>
      <c r="I120" s="5"/>
      <c r="J120" s="5"/>
      <c r="K120" s="5"/>
    </row>
    <row r="121" spans="2:11">
      <c r="B121" s="5"/>
      <c r="D121" s="5"/>
      <c r="E121" s="5"/>
      <c r="F121" s="5"/>
      <c r="G121" s="5"/>
      <c r="H121" s="5"/>
      <c r="I121" s="5"/>
      <c r="J121" s="5"/>
      <c r="K121" s="5"/>
    </row>
    <row r="122" spans="2:11">
      <c r="B122" s="5"/>
      <c r="D122" s="5"/>
      <c r="E122" s="5"/>
      <c r="F122" s="5"/>
      <c r="G122" s="5"/>
      <c r="H122" s="5"/>
      <c r="I122" s="5"/>
      <c r="J122" s="5"/>
      <c r="K122" s="5"/>
    </row>
    <row r="123" spans="2:11">
      <c r="B123" s="5"/>
      <c r="D123" s="5"/>
      <c r="E123" s="5"/>
      <c r="F123" s="5"/>
      <c r="G123" s="5"/>
      <c r="H123" s="5"/>
      <c r="I123" s="5"/>
      <c r="J123" s="5"/>
      <c r="K123" s="5"/>
    </row>
    <row r="124" spans="2:11">
      <c r="B124" s="5"/>
      <c r="D124" s="5"/>
      <c r="E124" s="5"/>
      <c r="F124" s="5"/>
      <c r="G124" s="5"/>
      <c r="H124" s="5"/>
      <c r="I124" s="5"/>
      <c r="J124" s="5"/>
      <c r="K124" s="5"/>
    </row>
    <row r="125" spans="2:11">
      <c r="B125" s="5"/>
      <c r="D125" s="5"/>
      <c r="E125" s="5"/>
      <c r="F125" s="5"/>
      <c r="G125" s="5"/>
      <c r="H125" s="5"/>
      <c r="I125" s="5"/>
      <c r="J125" s="5"/>
      <c r="K125" s="5"/>
    </row>
    <row r="126" spans="2:11">
      <c r="B126" s="5"/>
      <c r="D126" s="5"/>
      <c r="E126" s="5"/>
      <c r="F126" s="5"/>
      <c r="G126" s="5"/>
      <c r="H126" s="5"/>
      <c r="I126" s="5"/>
      <c r="J126" s="5"/>
      <c r="K126" s="5"/>
    </row>
    <row r="127" spans="2:11">
      <c r="B127" s="5"/>
      <c r="D127" s="5"/>
      <c r="E127" s="5"/>
      <c r="F127" s="5"/>
      <c r="G127" s="5"/>
      <c r="H127" s="5"/>
      <c r="I127" s="5"/>
      <c r="J127" s="5"/>
      <c r="K127" s="5"/>
    </row>
    <row r="128" spans="2:11">
      <c r="B128" s="5"/>
      <c r="D128" s="5"/>
      <c r="E128" s="5"/>
      <c r="F128" s="5"/>
      <c r="G128" s="5"/>
      <c r="H128" s="5"/>
      <c r="I128" s="5"/>
      <c r="J128" s="5"/>
      <c r="K128" s="5"/>
    </row>
    <row r="129" spans="2:11">
      <c r="B129" s="5"/>
      <c r="D129" s="5"/>
      <c r="E129" s="5"/>
      <c r="F129" s="5"/>
      <c r="G129" s="5"/>
      <c r="H129" s="5"/>
      <c r="I129" s="5"/>
      <c r="J129" s="5"/>
      <c r="K129" s="5"/>
    </row>
    <row r="130" spans="2:11">
      <c r="B130" s="5"/>
      <c r="D130" s="5"/>
      <c r="E130" s="5"/>
      <c r="F130" s="5"/>
      <c r="G130" s="5"/>
      <c r="H130" s="5"/>
      <c r="I130" s="5"/>
      <c r="J130" s="5"/>
      <c r="K130" s="5"/>
    </row>
    <row r="131" spans="2:11">
      <c r="B131" s="5"/>
      <c r="D131" s="5"/>
      <c r="E131" s="5"/>
      <c r="F131" s="5"/>
      <c r="G131" s="5"/>
      <c r="H131" s="5"/>
      <c r="I131" s="5"/>
      <c r="J131" s="5"/>
      <c r="K131" s="5"/>
    </row>
    <row r="132" spans="2:11">
      <c r="B132" s="5"/>
      <c r="D132" s="5"/>
      <c r="E132" s="5"/>
      <c r="F132" s="5"/>
      <c r="G132" s="5"/>
      <c r="H132" s="5"/>
      <c r="I132" s="5"/>
      <c r="J132" s="5"/>
      <c r="K132" s="5"/>
    </row>
    <row r="133" spans="2:11">
      <c r="B133" s="5"/>
      <c r="D133" s="5"/>
      <c r="E133" s="5"/>
      <c r="F133" s="5"/>
      <c r="G133" s="5"/>
      <c r="H133" s="5"/>
      <c r="I133" s="5"/>
      <c r="J133" s="5"/>
      <c r="K133" s="5"/>
    </row>
    <row r="134" spans="2:11">
      <c r="B134" s="5"/>
      <c r="D134" s="5"/>
      <c r="E134" s="5"/>
      <c r="F134" s="5"/>
      <c r="G134" s="5"/>
      <c r="H134" s="5"/>
      <c r="I134" s="5"/>
      <c r="J134" s="5"/>
      <c r="K134" s="5"/>
    </row>
    <row r="135" spans="2:11">
      <c r="B135" s="5"/>
      <c r="D135" s="5"/>
      <c r="E135" s="5"/>
      <c r="F135" s="5"/>
      <c r="G135" s="5"/>
      <c r="H135" s="5"/>
      <c r="I135" s="5"/>
      <c r="J135" s="5"/>
      <c r="K135" s="5"/>
    </row>
    <row r="136" spans="2:11">
      <c r="B136" s="5"/>
      <c r="D136" s="5"/>
      <c r="E136" s="5"/>
      <c r="F136" s="5"/>
      <c r="G136" s="5"/>
      <c r="H136" s="5"/>
      <c r="I136" s="5"/>
      <c r="J136" s="5"/>
      <c r="K136" s="5"/>
    </row>
    <row r="137" spans="2:11">
      <c r="B137" s="5"/>
      <c r="D137" s="5"/>
      <c r="E137" s="5"/>
      <c r="F137" s="5"/>
      <c r="G137" s="5"/>
      <c r="H137" s="5"/>
      <c r="I137" s="5"/>
      <c r="J137" s="5"/>
      <c r="K137" s="5"/>
    </row>
    <row r="138" spans="2:11">
      <c r="B138" s="5"/>
      <c r="D138" s="5"/>
      <c r="E138" s="5"/>
      <c r="F138" s="5"/>
      <c r="G138" s="5"/>
      <c r="H138" s="5"/>
      <c r="I138" s="5"/>
      <c r="J138" s="5"/>
      <c r="K138" s="5"/>
    </row>
    <row r="139" spans="2:11">
      <c r="B139" s="5"/>
      <c r="D139" s="5"/>
      <c r="E139" s="5"/>
      <c r="F139" s="5"/>
      <c r="G139" s="5"/>
      <c r="H139" s="5"/>
      <c r="I139" s="5"/>
      <c r="J139" s="5"/>
      <c r="K139" s="5"/>
    </row>
    <row r="140" spans="2:11">
      <c r="B140" s="5"/>
      <c r="D140" s="5"/>
      <c r="E140" s="5"/>
      <c r="F140" s="5"/>
      <c r="G140" s="5"/>
      <c r="H140" s="5"/>
      <c r="I140" s="5"/>
      <c r="J140" s="5"/>
      <c r="K140" s="5"/>
    </row>
    <row r="141" spans="2:11">
      <c r="B141" s="5"/>
      <c r="D141" s="5"/>
      <c r="E141" s="5"/>
      <c r="F141" s="5"/>
      <c r="G141" s="5"/>
      <c r="H141" s="5"/>
      <c r="I141" s="5"/>
      <c r="J141" s="5"/>
      <c r="K141" s="5"/>
    </row>
    <row r="142" spans="2:11">
      <c r="B142" s="5"/>
      <c r="D142" s="5"/>
      <c r="E142" s="5"/>
      <c r="F142" s="5"/>
      <c r="G142" s="5"/>
      <c r="H142" s="5"/>
      <c r="I142" s="5"/>
      <c r="J142" s="5"/>
      <c r="K142" s="5"/>
    </row>
    <row r="143" spans="2:11">
      <c r="B143" s="5"/>
      <c r="D143" s="5"/>
      <c r="E143" s="5"/>
      <c r="F143" s="5"/>
      <c r="G143" s="5"/>
      <c r="H143" s="5"/>
      <c r="I143" s="5"/>
      <c r="J143" s="5"/>
      <c r="K143" s="5"/>
    </row>
    <row r="144" spans="2:11">
      <c r="B144" s="5"/>
      <c r="D144" s="5"/>
      <c r="E144" s="5"/>
      <c r="F144" s="5"/>
      <c r="G144" s="5"/>
      <c r="H144" s="5"/>
      <c r="I144" s="5"/>
      <c r="J144" s="5"/>
      <c r="K144" s="5"/>
    </row>
    <row r="145" spans="2:11">
      <c r="B145" s="5"/>
      <c r="D145" s="5"/>
      <c r="E145" s="5"/>
      <c r="F145" s="5"/>
      <c r="G145" s="5"/>
      <c r="H145" s="5"/>
      <c r="I145" s="5"/>
      <c r="J145" s="5"/>
      <c r="K145" s="5"/>
    </row>
    <row r="146" spans="2:11">
      <c r="B146" s="5"/>
      <c r="D146" s="5"/>
      <c r="E146" s="5"/>
      <c r="F146" s="5"/>
      <c r="G146" s="5"/>
      <c r="H146" s="5"/>
      <c r="I146" s="5"/>
      <c r="J146" s="5"/>
      <c r="K146" s="5"/>
    </row>
    <row r="147" spans="2:11">
      <c r="B147" s="5"/>
      <c r="D147" s="5"/>
      <c r="E147" s="5"/>
      <c r="F147" s="5"/>
      <c r="G147" s="5"/>
      <c r="H147" s="5"/>
      <c r="I147" s="5"/>
      <c r="J147" s="5"/>
      <c r="K147" s="5"/>
    </row>
    <row r="148" spans="2:11">
      <c r="B148" s="5"/>
      <c r="D148" s="5"/>
      <c r="E148" s="5"/>
      <c r="F148" s="5"/>
      <c r="G148" s="5"/>
      <c r="H148" s="5"/>
      <c r="I148" s="5"/>
      <c r="J148" s="5"/>
      <c r="K148" s="5"/>
    </row>
    <row r="149" spans="2:11">
      <c r="B149" s="5"/>
      <c r="D149" s="5"/>
      <c r="E149" s="5"/>
      <c r="F149" s="5"/>
      <c r="G149" s="5"/>
      <c r="H149" s="5"/>
      <c r="I149" s="5"/>
      <c r="J149" s="5"/>
      <c r="K149" s="5"/>
    </row>
    <row r="150" spans="2:11">
      <c r="B150" s="5"/>
      <c r="D150" s="5"/>
      <c r="E150" s="5"/>
      <c r="F150" s="5"/>
      <c r="G150" s="5"/>
      <c r="H150" s="5"/>
      <c r="I150" s="5"/>
      <c r="J150" s="5"/>
      <c r="K150" s="5"/>
    </row>
    <row r="151" spans="2:11">
      <c r="B151" s="5"/>
      <c r="D151" s="5"/>
      <c r="E151" s="5"/>
      <c r="F151" s="5"/>
      <c r="G151" s="5"/>
      <c r="H151" s="5"/>
      <c r="I151" s="5"/>
      <c r="J151" s="5"/>
      <c r="K151" s="5"/>
    </row>
    <row r="152" spans="2:11">
      <c r="B152" s="5"/>
      <c r="D152" s="5"/>
      <c r="E152" s="5"/>
      <c r="F152" s="5"/>
      <c r="G152" s="5"/>
      <c r="H152" s="5"/>
      <c r="I152" s="5"/>
      <c r="J152" s="5"/>
      <c r="K152" s="5"/>
    </row>
    <row r="153" spans="2:11">
      <c r="B153" s="5"/>
      <c r="D153" s="5"/>
      <c r="E153" s="5"/>
      <c r="F153" s="5"/>
      <c r="G153" s="5"/>
      <c r="H153" s="5"/>
      <c r="I153" s="5"/>
      <c r="J153" s="5"/>
      <c r="K153" s="5"/>
    </row>
    <row r="154" spans="2:11">
      <c r="B154" s="5"/>
      <c r="D154" s="5"/>
      <c r="E154" s="5"/>
      <c r="F154" s="5"/>
      <c r="G154" s="5"/>
      <c r="H154" s="5"/>
      <c r="I154" s="5"/>
      <c r="J154" s="5"/>
      <c r="K154" s="5"/>
    </row>
    <row r="155" spans="2:11">
      <c r="B155" s="5"/>
      <c r="D155" s="5"/>
      <c r="E155" s="5"/>
      <c r="F155" s="5"/>
      <c r="G155" s="5"/>
      <c r="H155" s="5"/>
      <c r="I155" s="5"/>
      <c r="J155" s="5"/>
      <c r="K155" s="5"/>
    </row>
    <row r="156" spans="2:11">
      <c r="B156" s="5"/>
      <c r="D156" s="5"/>
      <c r="E156" s="5"/>
      <c r="F156" s="5"/>
      <c r="G156" s="5"/>
      <c r="H156" s="5"/>
      <c r="I156" s="5"/>
      <c r="J156" s="5"/>
      <c r="K156" s="5"/>
    </row>
    <row r="157" spans="2:11">
      <c r="B157" s="5"/>
      <c r="D157" s="5"/>
      <c r="E157" s="5"/>
      <c r="F157" s="5"/>
      <c r="G157" s="5"/>
      <c r="H157" s="5"/>
      <c r="I157" s="5"/>
      <c r="J157" s="5"/>
      <c r="K157" s="5"/>
    </row>
    <row r="158" spans="2:11">
      <c r="B158" s="5"/>
      <c r="D158" s="5"/>
      <c r="E158" s="5"/>
      <c r="F158" s="5"/>
      <c r="G158" s="5"/>
      <c r="H158" s="5"/>
      <c r="I158" s="5"/>
      <c r="J158" s="5"/>
      <c r="K158" s="5"/>
    </row>
    <row r="159" spans="2:11">
      <c r="B159" s="5"/>
      <c r="D159" s="5"/>
      <c r="E159" s="5"/>
      <c r="F159" s="5"/>
      <c r="G159" s="5"/>
      <c r="H159" s="5"/>
      <c r="I159" s="5"/>
      <c r="J159" s="5"/>
      <c r="K159" s="5"/>
    </row>
    <row r="160" spans="2:11">
      <c r="B160" s="5"/>
      <c r="D160" s="5"/>
      <c r="E160" s="5"/>
      <c r="F160" s="5"/>
      <c r="G160" s="5"/>
      <c r="H160" s="5"/>
      <c r="I160" s="5"/>
      <c r="J160" s="5"/>
      <c r="K160" s="5"/>
    </row>
    <row r="161" spans="2:11">
      <c r="B161" s="5"/>
      <c r="D161" s="5"/>
      <c r="E161" s="5"/>
      <c r="F161" s="5"/>
      <c r="G161" s="5"/>
      <c r="H161" s="5"/>
      <c r="I161" s="5"/>
      <c r="J161" s="5"/>
      <c r="K161" s="5"/>
    </row>
    <row r="162" spans="2:11">
      <c r="B162" s="5"/>
      <c r="D162" s="5"/>
      <c r="E162" s="5"/>
      <c r="F162" s="5"/>
      <c r="G162" s="5"/>
      <c r="H162" s="5"/>
      <c r="I162" s="5"/>
      <c r="J162" s="5"/>
      <c r="K162" s="5"/>
    </row>
    <row r="163" spans="2:11">
      <c r="B163" s="5"/>
      <c r="D163" s="5"/>
      <c r="E163" s="5"/>
      <c r="F163" s="5"/>
      <c r="G163" s="5"/>
      <c r="H163" s="5"/>
      <c r="I163" s="5"/>
      <c r="J163" s="5"/>
      <c r="K163" s="5"/>
    </row>
    <row r="164" spans="2:11">
      <c r="B164" s="5"/>
      <c r="D164" s="5"/>
      <c r="E164" s="5"/>
      <c r="F164" s="5"/>
      <c r="G164" s="5"/>
      <c r="H164" s="5"/>
      <c r="I164" s="5"/>
      <c r="J164" s="5"/>
      <c r="K164" s="5"/>
    </row>
    <row r="165" spans="2:11">
      <c r="B165" s="5"/>
      <c r="D165" s="5"/>
      <c r="E165" s="5"/>
      <c r="F165" s="5"/>
      <c r="G165" s="5"/>
      <c r="H165" s="5"/>
      <c r="I165" s="5"/>
      <c r="J165" s="5"/>
      <c r="K165" s="5"/>
    </row>
    <row r="166" spans="2:11">
      <c r="B166" s="5"/>
      <c r="D166" s="5"/>
      <c r="E166" s="5"/>
      <c r="F166" s="5"/>
      <c r="G166" s="5"/>
      <c r="H166" s="5"/>
      <c r="I166" s="5"/>
      <c r="J166" s="5"/>
      <c r="K166" s="5"/>
    </row>
    <row r="167" spans="2:11">
      <c r="B167" s="5"/>
      <c r="D167" s="5"/>
      <c r="E167" s="5"/>
      <c r="F167" s="5"/>
      <c r="G167" s="5"/>
      <c r="H167" s="5"/>
      <c r="I167" s="5"/>
      <c r="J167" s="5"/>
      <c r="K167" s="5"/>
    </row>
    <row r="168" spans="2:11">
      <c r="B168" s="5"/>
      <c r="D168" s="5"/>
      <c r="E168" s="5"/>
      <c r="F168" s="5"/>
      <c r="G168" s="5"/>
      <c r="H168" s="5"/>
      <c r="I168" s="5"/>
      <c r="J168" s="5"/>
      <c r="K168" s="5"/>
    </row>
    <row r="169" spans="2:11">
      <c r="B169" s="5"/>
      <c r="D169" s="5"/>
      <c r="E169" s="5"/>
      <c r="F169" s="5"/>
      <c r="G169" s="5"/>
      <c r="H169" s="5"/>
      <c r="I169" s="5"/>
      <c r="J169" s="5"/>
      <c r="K169" s="5"/>
    </row>
    <row r="170" spans="2:11">
      <c r="B170" s="5"/>
      <c r="D170" s="5"/>
      <c r="E170" s="5"/>
      <c r="F170" s="5"/>
      <c r="G170" s="5"/>
      <c r="H170" s="5"/>
      <c r="I170" s="5"/>
      <c r="J170" s="5"/>
      <c r="K170" s="5"/>
    </row>
    <row r="171" spans="2:11">
      <c r="B171" s="5"/>
      <c r="D171" s="5"/>
      <c r="E171" s="5"/>
      <c r="F171" s="5"/>
      <c r="G171" s="5"/>
      <c r="H171" s="5"/>
      <c r="I171" s="5"/>
      <c r="J171" s="5"/>
      <c r="K171" s="5"/>
    </row>
    <row r="172" spans="2:11">
      <c r="B172" s="5"/>
      <c r="D172" s="5"/>
      <c r="E172" s="5"/>
      <c r="F172" s="5"/>
      <c r="G172" s="5"/>
      <c r="H172" s="5"/>
      <c r="I172" s="5"/>
      <c r="J172" s="5"/>
      <c r="K172" s="5"/>
    </row>
    <row r="173" spans="2:11">
      <c r="B173" s="5"/>
      <c r="D173" s="5"/>
      <c r="E173" s="5"/>
      <c r="F173" s="5"/>
      <c r="G173" s="5"/>
      <c r="H173" s="5"/>
      <c r="I173" s="5"/>
      <c r="J173" s="5"/>
      <c r="K173" s="5"/>
    </row>
    <row r="174" spans="2:11">
      <c r="B174" s="5"/>
      <c r="D174" s="5"/>
      <c r="E174" s="5"/>
      <c r="F174" s="5"/>
      <c r="G174" s="5"/>
      <c r="H174" s="5"/>
      <c r="I174" s="5"/>
      <c r="J174" s="5"/>
      <c r="K174" s="5"/>
    </row>
    <row r="175" spans="2:11">
      <c r="B175" s="5"/>
      <c r="D175" s="5"/>
      <c r="E175" s="5"/>
      <c r="F175" s="5"/>
      <c r="G175" s="5"/>
      <c r="H175" s="5"/>
      <c r="I175" s="5"/>
      <c r="J175" s="5"/>
      <c r="K175" s="5"/>
    </row>
    <row r="176" spans="2:11">
      <c r="B176" s="5"/>
      <c r="D176" s="5"/>
      <c r="E176" s="5"/>
      <c r="F176" s="5"/>
      <c r="G176" s="5"/>
      <c r="H176" s="5"/>
      <c r="I176" s="5"/>
      <c r="J176" s="5"/>
      <c r="K176" s="5"/>
    </row>
    <row r="177" spans="2:11">
      <c r="B177" s="5"/>
      <c r="D177" s="5"/>
      <c r="E177" s="5"/>
      <c r="F177" s="5"/>
      <c r="G177" s="5"/>
      <c r="H177" s="5"/>
      <c r="I177" s="5"/>
      <c r="J177" s="5"/>
      <c r="K177" s="5"/>
    </row>
    <row r="178" spans="2:11">
      <c r="B178" s="5"/>
      <c r="D178" s="5"/>
      <c r="E178" s="5"/>
      <c r="F178" s="5"/>
      <c r="G178" s="5"/>
      <c r="H178" s="5"/>
      <c r="I178" s="5"/>
      <c r="J178" s="5"/>
      <c r="K178" s="5"/>
    </row>
    <row r="179" spans="2:11">
      <c r="B179" s="5"/>
      <c r="D179" s="5"/>
      <c r="E179" s="5"/>
      <c r="F179" s="5"/>
      <c r="G179" s="5"/>
      <c r="H179" s="5"/>
      <c r="I179" s="5"/>
      <c r="J179" s="5"/>
      <c r="K179" s="5"/>
    </row>
  </sheetData>
  <mergeCells count="23">
    <mergeCell ref="A1:P1"/>
    <mergeCell ref="A2:P2"/>
    <mergeCell ref="A3:P3"/>
    <mergeCell ref="A4:D4"/>
    <mergeCell ref="A5:P5"/>
    <mergeCell ref="B10:D10"/>
    <mergeCell ref="F10:S10"/>
    <mergeCell ref="F11:S11"/>
    <mergeCell ref="E12:R12"/>
    <mergeCell ref="E13:R13"/>
    <mergeCell ref="B54:B59"/>
    <mergeCell ref="B61:B65"/>
    <mergeCell ref="B66:B73"/>
    <mergeCell ref="B15:B21"/>
    <mergeCell ref="D15:I15"/>
    <mergeCell ref="D16:I16"/>
    <mergeCell ref="D22:I22"/>
    <mergeCell ref="D23:I23"/>
    <mergeCell ref="B25:E25"/>
    <mergeCell ref="B26:B32"/>
    <mergeCell ref="B34:E34"/>
    <mergeCell ref="B35:B41"/>
    <mergeCell ref="B48:E49"/>
  </mergeCells>
  <conditionalFormatting sqref="E12:R12">
    <cfRule type="expression" dxfId="28" priority="1">
      <formula>E11="SI SE REPORTA"</formula>
    </cfRule>
  </conditionalFormatting>
  <conditionalFormatting sqref="F10">
    <cfRule type="notContainsBlanks" dxfId="27" priority="4">
      <formula>LEN(TRIM(F10))&gt;0</formula>
    </cfRule>
  </conditionalFormatting>
  <conditionalFormatting sqref="F11:S11">
    <cfRule type="expression" dxfId="26" priority="2">
      <formula>E11="NO SE REPORTA"</formula>
    </cfRule>
    <cfRule type="expression" dxfId="25" priority="3">
      <formula>E10="NO APLICA"</formula>
    </cfRule>
  </conditionalFormatting>
  <dataValidations count="3">
    <dataValidation type="whole" operator="greaterThanOrEqual" allowBlank="1" showErrorMessage="1" errorTitle="ERROR" error="Escriba un número igual o mayor que 0" promptTitle="ERROR" prompt="Escriba un número igual o mayor que 0" sqref="E18:H20" xr:uid="{29697C28-F4E7-4181-9066-E7A01F7F0C4D}">
      <formula1>0</formula1>
    </dataValidation>
    <dataValidation type="list" allowBlank="1" showInputMessage="1" showErrorMessage="1" sqref="E11" xr:uid="{69AA062B-BE6E-4269-93FC-A200DA05A5A0}">
      <formula1>REPORTE</formula1>
    </dataValidation>
    <dataValidation type="list" allowBlank="1" showInputMessage="1" showErrorMessage="1" sqref="E10" xr:uid="{ECADD4A1-6BC1-4E18-B0BE-AFB504326EE4}">
      <formula1>SI</formula1>
    </dataValidation>
  </dataValidations>
  <hyperlinks>
    <hyperlink ref="B9" location="'ANEXO 3'!A1" display="VOLVER AL INDICE" xr:uid="{391AFEED-2C18-4A5D-9C4A-52B8128CD190}"/>
    <hyperlink ref="E30" r:id="rId1" display="jrestrepo@crautonoma.gov.co" xr:uid="{4E7735A3-8CD5-4317-BEAF-88075FA45E9E}"/>
  </hyperlinks>
  <pageMargins left="0.25" right="0.25" top="0.75" bottom="0.75" header="0.3" footer="0.3"/>
  <pageSetup paperSize="178" orientation="landscape" horizontalDpi="1200" verticalDpi="1200"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34">
    <tabColor theme="0"/>
  </sheetPr>
  <dimension ref="A1:U84"/>
  <sheetViews>
    <sheetView showGridLines="0" topLeftCell="A16" zoomScale="98" zoomScaleNormal="98" workbookViewId="0">
      <selection activeCell="G21" sqref="G21:H21"/>
    </sheetView>
  </sheetViews>
  <sheetFormatPr baseColWidth="10" defaultRowHeight="14.4"/>
  <cols>
    <col min="1" max="1" width="1.88671875" customWidth="1"/>
    <col min="2" max="2" width="12.88671875" customWidth="1"/>
    <col min="3" max="3" width="5" style="66" bestFit="1" customWidth="1"/>
    <col min="4" max="4" width="41.109375" customWidth="1"/>
    <col min="5" max="5" width="14" customWidth="1"/>
    <col min="6" max="6" width="14.6640625" customWidth="1"/>
    <col min="7" max="7" width="16.109375" customWidth="1"/>
    <col min="8" max="8" width="18.44140625" customWidth="1"/>
  </cols>
  <sheetData>
    <row r="1" spans="1:21" s="314" customFormat="1" ht="100.5" customHeight="1" thickBot="1">
      <c r="A1" s="1421"/>
      <c r="B1" s="1422"/>
      <c r="C1" s="1422"/>
      <c r="D1" s="1422"/>
      <c r="E1" s="1422"/>
      <c r="F1" s="1422"/>
      <c r="G1" s="1422"/>
      <c r="H1" s="1422"/>
      <c r="I1" s="1422"/>
      <c r="J1" s="1422"/>
      <c r="K1" s="1422"/>
      <c r="L1" s="1422"/>
      <c r="M1" s="1422"/>
      <c r="N1" s="1422"/>
      <c r="O1" s="1422"/>
      <c r="P1" s="1423"/>
      <c r="Q1"/>
      <c r="R1"/>
    </row>
    <row r="2" spans="1:21" s="315" customFormat="1" ht="16.2" thickBot="1">
      <c r="A2" s="1418" t="str">
        <f>+'Datos Generales'!C5</f>
        <v>Corporación Autónoma Regional del Atlántico – CRA</v>
      </c>
      <c r="B2" s="1419"/>
      <c r="C2" s="1419"/>
      <c r="D2" s="1419"/>
      <c r="E2" s="1419"/>
      <c r="F2" s="1419"/>
      <c r="G2" s="1419"/>
      <c r="H2" s="1419"/>
      <c r="I2" s="1419"/>
      <c r="J2" s="1419"/>
      <c r="K2" s="1419"/>
      <c r="L2" s="1419"/>
      <c r="M2" s="1419"/>
      <c r="N2" s="1419"/>
      <c r="O2" s="1419"/>
      <c r="P2" s="1420"/>
      <c r="Q2"/>
      <c r="R2"/>
    </row>
    <row r="3" spans="1:21" s="315" customFormat="1" ht="16.2" thickBot="1">
      <c r="A3" s="1426" t="s">
        <v>1295</v>
      </c>
      <c r="B3" s="1427"/>
      <c r="C3" s="1427"/>
      <c r="D3" s="1427"/>
      <c r="E3" s="1427"/>
      <c r="F3" s="1427"/>
      <c r="G3" s="1427"/>
      <c r="H3" s="1427"/>
      <c r="I3" s="1427"/>
      <c r="J3" s="1427"/>
      <c r="K3" s="1427"/>
      <c r="L3" s="1427"/>
      <c r="M3" s="1427"/>
      <c r="N3" s="1427"/>
      <c r="O3" s="1427"/>
      <c r="P3" s="1428"/>
      <c r="Q3"/>
      <c r="R3"/>
    </row>
    <row r="4" spans="1:21" s="315" customFormat="1" ht="16.2" thickBot="1">
      <c r="A4" s="1424" t="s">
        <v>1294</v>
      </c>
      <c r="B4" s="1425"/>
      <c r="C4" s="1425"/>
      <c r="D4" s="1425"/>
      <c r="E4" s="322" t="str">
        <f>+'Datos Generales'!C6</f>
        <v>2023-II</v>
      </c>
      <c r="F4" s="322"/>
      <c r="G4" s="322"/>
      <c r="H4" s="322"/>
      <c r="I4" s="322"/>
      <c r="J4" s="322"/>
      <c r="K4" s="322"/>
      <c r="L4" s="323"/>
      <c r="M4" s="323"/>
      <c r="N4" s="323"/>
      <c r="O4" s="323"/>
      <c r="P4" s="324"/>
      <c r="Q4"/>
      <c r="R4"/>
    </row>
    <row r="5" spans="1:21" ht="34.5" customHeight="1" thickBot="1">
      <c r="A5" s="1426" t="s">
        <v>960</v>
      </c>
      <c r="B5" s="1427"/>
      <c r="C5" s="1427"/>
      <c r="D5" s="1427"/>
      <c r="E5" s="1427"/>
      <c r="F5" s="1427"/>
      <c r="G5" s="1427"/>
      <c r="H5" s="1427"/>
      <c r="I5" s="1427"/>
      <c r="J5" s="1427"/>
      <c r="K5" s="1427"/>
      <c r="L5" s="1427"/>
      <c r="M5" s="1427"/>
      <c r="N5" s="1427"/>
      <c r="O5" s="1427"/>
      <c r="P5" s="1428"/>
    </row>
    <row r="6" spans="1:21" ht="15" thickBot="1">
      <c r="B6" s="1" t="s">
        <v>1</v>
      </c>
      <c r="C6" s="64"/>
      <c r="D6" s="5"/>
      <c r="E6" s="62"/>
      <c r="F6" s="5" t="s">
        <v>127</v>
      </c>
      <c r="G6" s="5"/>
      <c r="H6" s="5"/>
      <c r="I6" s="5"/>
      <c r="J6" s="5"/>
      <c r="K6" s="5"/>
    </row>
    <row r="7" spans="1:21" ht="15" thickBot="1">
      <c r="B7" s="144" t="s">
        <v>1180</v>
      </c>
      <c r="C7" s="571">
        <v>2023</v>
      </c>
      <c r="D7" s="169">
        <f>IF(E9="NO APLICA","NO APLICA",IF(E10="NO SE REPORTA","SIN INFORMACION",+H17))</f>
        <v>1</v>
      </c>
      <c r="E7" s="181"/>
      <c r="F7" s="5" t="s">
        <v>128</v>
      </c>
      <c r="G7" s="5"/>
      <c r="H7" s="5"/>
      <c r="I7" s="5"/>
      <c r="J7" s="5"/>
      <c r="K7" s="5"/>
    </row>
    <row r="8" spans="1:21">
      <c r="B8" s="300" t="s">
        <v>1181</v>
      </c>
      <c r="E8" s="168"/>
      <c r="F8" s="5" t="s">
        <v>129</v>
      </c>
      <c r="G8" s="5"/>
      <c r="H8" s="5"/>
      <c r="I8" s="5"/>
      <c r="J8" s="5"/>
      <c r="K8" s="5"/>
    </row>
    <row r="9" spans="1:21">
      <c r="B9" s="1429" t="s">
        <v>1236</v>
      </c>
      <c r="C9" s="1429"/>
      <c r="D9" s="1429"/>
      <c r="E9" s="303" t="s">
        <v>1233</v>
      </c>
      <c r="F9" s="1436" t="str">
        <f>IF(E9="NO APLICA","      ESCRIBA EL NÚMERO DEL ACUERDO DEL CONSEJO DIRECTIVO EN EL CUAL DECIDE LA NO PROCEDENCIA DE LA APLICACIÓN DEL INDICADOR",IF(E10="NO SE REPORTA","      ESCRIBA EL NÚMERO DEL ACUERDO DEL CONSEJO DIRECTIVO EN LA CUAL SE APRUEBA LA AGENDA DE IMPLEMENTACION DEL INDICADOR",""))</f>
        <v/>
      </c>
      <c r="G9" s="1437"/>
      <c r="H9" s="1437"/>
      <c r="I9" s="1437"/>
      <c r="J9" s="1437"/>
      <c r="K9" s="1437"/>
      <c r="L9" s="1437"/>
      <c r="M9" s="1437"/>
      <c r="N9" s="1437"/>
      <c r="O9" s="1437"/>
      <c r="P9" s="1437"/>
      <c r="Q9" s="1437"/>
      <c r="R9" s="1437"/>
      <c r="S9" s="1437"/>
      <c r="T9" s="5"/>
      <c r="U9" s="5"/>
    </row>
    <row r="10" spans="1:21" ht="14.4" customHeight="1">
      <c r="B10" s="302"/>
      <c r="C10" s="67"/>
      <c r="D10" s="144" t="str">
        <f>IF(E9="SI APLICA","¿El indicador no se reporta por limitaciones de información disponible? ","")</f>
        <v xml:space="preserve">¿El indicador no se reporta por limitaciones de información disponible? </v>
      </c>
      <c r="E10" s="304" t="s">
        <v>1235</v>
      </c>
      <c r="F10" s="1430"/>
      <c r="G10" s="1431"/>
      <c r="H10" s="1431"/>
      <c r="I10" s="1431"/>
      <c r="J10" s="1431"/>
      <c r="K10" s="1431"/>
      <c r="L10" s="1431"/>
      <c r="M10" s="1431"/>
      <c r="N10" s="1431"/>
      <c r="O10" s="1431"/>
      <c r="P10" s="1431"/>
      <c r="Q10" s="1431"/>
      <c r="R10" s="1431"/>
      <c r="S10" s="1431"/>
    </row>
    <row r="11" spans="1:21" ht="23.4" customHeight="1">
      <c r="B11" s="300"/>
      <c r="C11" s="67"/>
      <c r="D11" s="144" t="str">
        <f>IF(E10="SI SE REPORTA","¿Qué programas o proyectos del Plan de Acción están asociados al indicador? ","")</f>
        <v xml:space="preserve">¿Qué programas o proyectos del Plan de Acción están asociados al indicador? </v>
      </c>
      <c r="E11" s="1560" t="s">
        <v>1891</v>
      </c>
      <c r="F11" s="1560"/>
      <c r="G11" s="1560"/>
      <c r="H11" s="1560"/>
      <c r="I11" s="1560"/>
      <c r="J11" s="1560"/>
      <c r="K11" s="1560"/>
      <c r="L11" s="1560"/>
      <c r="M11" s="1560"/>
      <c r="N11" s="1560"/>
      <c r="O11" s="1560"/>
      <c r="P11" s="1560"/>
      <c r="Q11" s="1560"/>
      <c r="R11" s="1560"/>
    </row>
    <row r="12" spans="1:21" ht="21.9" customHeight="1" thickBot="1">
      <c r="B12" s="300"/>
      <c r="C12" s="67"/>
      <c r="D12" s="144" t="s">
        <v>1238</v>
      </c>
      <c r="E12" s="1433"/>
      <c r="F12" s="1434"/>
      <c r="G12" s="1434"/>
      <c r="H12" s="1434"/>
      <c r="I12" s="1434"/>
      <c r="J12" s="1434"/>
      <c r="K12" s="1434"/>
      <c r="L12" s="1434"/>
      <c r="M12" s="1434"/>
      <c r="N12" s="1434"/>
      <c r="O12" s="1434"/>
      <c r="P12" s="1434"/>
      <c r="Q12" s="1434"/>
      <c r="R12" s="1435"/>
    </row>
    <row r="13" spans="1:21" ht="26.25" customHeight="1" thickBot="1">
      <c r="B13" s="1640" t="s">
        <v>2</v>
      </c>
      <c r="C13" s="81"/>
      <c r="D13" s="1462" t="s">
        <v>3</v>
      </c>
      <c r="E13" s="1463"/>
      <c r="F13" s="1463"/>
      <c r="G13" s="1463"/>
      <c r="H13" s="1463"/>
      <c r="I13" s="1451"/>
      <c r="J13" s="1452"/>
      <c r="K13" s="5"/>
    </row>
    <row r="14" spans="1:21" ht="21.75" customHeight="1" thickBot="1">
      <c r="B14" s="1641"/>
      <c r="C14" s="77" t="s">
        <v>18</v>
      </c>
      <c r="D14" s="588" t="s">
        <v>149</v>
      </c>
      <c r="E14" s="603" t="s">
        <v>19</v>
      </c>
      <c r="F14" s="603" t="s">
        <v>20</v>
      </c>
      <c r="G14" s="603" t="s">
        <v>21</v>
      </c>
      <c r="H14" s="627" t="s">
        <v>22</v>
      </c>
      <c r="I14" s="243"/>
      <c r="J14" s="197"/>
      <c r="K14" s="5"/>
    </row>
    <row r="15" spans="1:21" ht="60.6" thickBot="1">
      <c r="B15" s="1641"/>
      <c r="C15" s="2" t="s">
        <v>151</v>
      </c>
      <c r="D15" s="32" t="s">
        <v>981</v>
      </c>
      <c r="E15" s="512">
        <v>23</v>
      </c>
      <c r="F15" s="512">
        <v>23</v>
      </c>
      <c r="G15" s="512">
        <v>23</v>
      </c>
      <c r="H15" s="554">
        <v>23</v>
      </c>
      <c r="I15" s="277"/>
      <c r="J15" s="17"/>
      <c r="K15" s="5"/>
    </row>
    <row r="16" spans="1:21" ht="60.6" thickBot="1">
      <c r="B16" s="1641"/>
      <c r="C16" s="2" t="s">
        <v>153</v>
      </c>
      <c r="D16" s="32" t="s">
        <v>982</v>
      </c>
      <c r="E16" s="512">
        <v>23</v>
      </c>
      <c r="F16" s="512">
        <v>23</v>
      </c>
      <c r="G16" s="512">
        <v>23</v>
      </c>
      <c r="H16" s="554">
        <v>23</v>
      </c>
      <c r="I16" s="277"/>
      <c r="J16" s="17"/>
      <c r="K16" s="5"/>
    </row>
    <row r="17" spans="2:11" ht="72.599999999999994" customHeight="1" thickBot="1">
      <c r="B17" s="1641"/>
      <c r="C17" s="2" t="s">
        <v>155</v>
      </c>
      <c r="D17" s="32" t="s">
        <v>983</v>
      </c>
      <c r="E17" s="120">
        <f>+E16/E15</f>
        <v>1</v>
      </c>
      <c r="F17" s="120">
        <f>+F16/F15</f>
        <v>1</v>
      </c>
      <c r="G17" s="120">
        <f>+G16/G15</f>
        <v>1</v>
      </c>
      <c r="H17" s="276">
        <f>+H16/H15</f>
        <v>1</v>
      </c>
      <c r="I17" s="278"/>
      <c r="J17" s="19"/>
      <c r="K17" s="5"/>
    </row>
    <row r="18" spans="2:11">
      <c r="B18" s="1641"/>
      <c r="C18" s="82"/>
      <c r="D18" s="1450"/>
      <c r="E18" s="1451"/>
      <c r="F18" s="1451"/>
      <c r="G18" s="1451"/>
      <c r="H18" s="1451"/>
      <c r="I18" s="1442"/>
      <c r="J18" s="1443"/>
      <c r="K18" s="5"/>
    </row>
    <row r="19" spans="2:11" ht="24" customHeight="1" thickBot="1">
      <c r="B19" s="1641"/>
      <c r="C19" s="82"/>
      <c r="D19" s="1441" t="s">
        <v>984</v>
      </c>
      <c r="E19" s="1442"/>
      <c r="F19" s="1442"/>
      <c r="G19" s="1442"/>
      <c r="H19" s="1442"/>
      <c r="I19" s="1442"/>
      <c r="J19" s="1443"/>
      <c r="K19" s="5"/>
    </row>
    <row r="20" spans="2:11" ht="33" customHeight="1" thickBot="1">
      <c r="B20" s="1641"/>
      <c r="C20" s="77" t="s">
        <v>18</v>
      </c>
      <c r="D20" s="30" t="s">
        <v>308</v>
      </c>
      <c r="E20" s="34" t="s">
        <v>985</v>
      </c>
      <c r="F20" s="34" t="s">
        <v>986</v>
      </c>
      <c r="G20" s="1741" t="s">
        <v>54</v>
      </c>
      <c r="H20" s="1742"/>
      <c r="J20" s="17"/>
      <c r="K20" s="5"/>
    </row>
    <row r="21" spans="2:11" ht="111" customHeight="1" thickBot="1">
      <c r="B21" s="1641"/>
      <c r="C21" s="2">
        <v>1</v>
      </c>
      <c r="D21" s="555" t="s">
        <v>1890</v>
      </c>
      <c r="E21" s="512">
        <v>23</v>
      </c>
      <c r="F21" s="508" t="s">
        <v>1889</v>
      </c>
      <c r="G21" s="1743" t="s">
        <v>2005</v>
      </c>
      <c r="H21" s="1744"/>
      <c r="J21" s="17"/>
      <c r="K21" s="5"/>
    </row>
    <row r="22" spans="2:11" ht="15" hidden="1" thickBot="1">
      <c r="B22" s="1641"/>
      <c r="C22" s="2">
        <v>2</v>
      </c>
      <c r="D22" s="555"/>
      <c r="E22" s="512"/>
      <c r="F22" s="508"/>
      <c r="G22" s="1745"/>
      <c r="H22" s="1746"/>
      <c r="J22" s="17"/>
      <c r="K22" s="5"/>
    </row>
    <row r="23" spans="2:11" ht="15" hidden="1" thickBot="1">
      <c r="B23" s="1642"/>
      <c r="C23" s="2">
        <v>3</v>
      </c>
      <c r="D23" s="25"/>
      <c r="E23" s="6"/>
      <c r="F23" s="24"/>
      <c r="G23" s="1745"/>
      <c r="H23" s="1746"/>
      <c r="J23" s="19"/>
      <c r="K23" s="5"/>
    </row>
    <row r="24" spans="2:11" ht="24" customHeight="1" thickBot="1">
      <c r="B24" s="50" t="s">
        <v>33</v>
      </c>
      <c r="C24" s="83"/>
      <c r="D24" s="1462" t="s">
        <v>987</v>
      </c>
      <c r="E24" s="1463"/>
      <c r="F24" s="1463"/>
      <c r="G24" s="1463"/>
      <c r="H24" s="1463"/>
      <c r="I24" s="1463"/>
      <c r="J24" s="1464"/>
      <c r="K24" s="5"/>
    </row>
    <row r="25" spans="2:11" ht="19.8" thickBot="1">
      <c r="B25" s="50" t="s">
        <v>35</v>
      </c>
      <c r="C25" s="83"/>
      <c r="D25" s="1462" t="s">
        <v>277</v>
      </c>
      <c r="E25" s="1463"/>
      <c r="F25" s="1463"/>
      <c r="G25" s="1463"/>
      <c r="H25" s="1463"/>
      <c r="I25" s="1463"/>
      <c r="J25" s="1464"/>
      <c r="K25" s="5"/>
    </row>
    <row r="26" spans="2:11" ht="15" thickBot="1">
      <c r="B26" s="1"/>
      <c r="C26" s="64"/>
      <c r="D26" s="5"/>
      <c r="E26" s="5"/>
      <c r="F26" s="5"/>
      <c r="G26" s="5"/>
      <c r="H26" s="5"/>
      <c r="I26" s="5"/>
      <c r="J26" s="5"/>
      <c r="K26" s="5"/>
    </row>
    <row r="27" spans="2:11" ht="24" customHeight="1" thickBot="1">
      <c r="B27" s="1469" t="s">
        <v>37</v>
      </c>
      <c r="C27" s="1470"/>
      <c r="D27" s="1470"/>
      <c r="E27" s="1471"/>
      <c r="F27" s="5"/>
      <c r="G27" s="5"/>
      <c r="H27" s="5"/>
      <c r="I27" s="5"/>
      <c r="J27" s="5"/>
      <c r="K27" s="5"/>
    </row>
    <row r="28" spans="2:11" ht="15" thickBot="1">
      <c r="B28" s="1459">
        <v>1</v>
      </c>
      <c r="C28" s="73"/>
      <c r="D28" s="38" t="s">
        <v>38</v>
      </c>
      <c r="E28" s="25" t="s">
        <v>1814</v>
      </c>
      <c r="F28" s="5"/>
      <c r="G28" s="5"/>
      <c r="H28" s="5"/>
      <c r="I28" s="5"/>
      <c r="J28" s="5"/>
      <c r="K28" s="5"/>
    </row>
    <row r="29" spans="2:11" ht="24.6" thickBot="1">
      <c r="B29" s="1460"/>
      <c r="C29" s="73"/>
      <c r="D29" s="32" t="s">
        <v>39</v>
      </c>
      <c r="E29" s="24" t="s">
        <v>2006</v>
      </c>
      <c r="F29" s="5"/>
      <c r="G29" s="5"/>
      <c r="H29" s="5"/>
      <c r="I29" s="5"/>
      <c r="J29" s="5"/>
      <c r="K29" s="5"/>
    </row>
    <row r="30" spans="2:11" ht="24.6" thickBot="1">
      <c r="B30" s="1460"/>
      <c r="C30" s="73"/>
      <c r="D30" s="32" t="s">
        <v>40</v>
      </c>
      <c r="E30" s="24" t="s">
        <v>1821</v>
      </c>
      <c r="F30" s="5"/>
      <c r="G30" s="5"/>
      <c r="H30" s="5"/>
      <c r="I30" s="5"/>
      <c r="J30" s="5"/>
      <c r="K30" s="5"/>
    </row>
    <row r="31" spans="2:11" ht="36.6" thickBot="1">
      <c r="B31" s="1460"/>
      <c r="C31" s="73"/>
      <c r="D31" s="32" t="s">
        <v>41</v>
      </c>
      <c r="E31" s="24" t="s">
        <v>2007</v>
      </c>
      <c r="F31" s="5"/>
      <c r="G31" s="5"/>
      <c r="H31" s="5"/>
      <c r="I31" s="5"/>
      <c r="J31" s="5"/>
      <c r="K31" s="5"/>
    </row>
    <row r="32" spans="2:11" ht="29.4" thickBot="1">
      <c r="B32" s="1460"/>
      <c r="C32" s="73"/>
      <c r="D32" s="32" t="s">
        <v>42</v>
      </c>
      <c r="E32" s="507" t="s">
        <v>1816</v>
      </c>
      <c r="F32" s="5"/>
      <c r="G32" s="5"/>
      <c r="H32" s="5"/>
      <c r="I32" s="5"/>
      <c r="J32" s="5"/>
      <c r="K32" s="5"/>
    </row>
    <row r="33" spans="2:11" ht="15" thickBot="1">
      <c r="B33" s="1460"/>
      <c r="C33" s="73"/>
      <c r="D33" s="32" t="s">
        <v>43</v>
      </c>
      <c r="E33" s="282">
        <v>3686626</v>
      </c>
      <c r="F33" s="5"/>
      <c r="G33" s="5"/>
      <c r="H33" s="5"/>
      <c r="I33" s="5"/>
      <c r="J33" s="5"/>
      <c r="K33" s="5"/>
    </row>
    <row r="34" spans="2:11" ht="24.6" thickBot="1">
      <c r="B34" s="1461"/>
      <c r="C34" s="2"/>
      <c r="D34" s="32" t="s">
        <v>44</v>
      </c>
      <c r="E34" s="24" t="s">
        <v>1817</v>
      </c>
      <c r="F34" s="5"/>
      <c r="G34" s="5"/>
      <c r="H34" s="5"/>
      <c r="I34" s="5"/>
      <c r="J34" s="5"/>
      <c r="K34" s="5"/>
    </row>
    <row r="35" spans="2:11" ht="15" thickBot="1">
      <c r="B35" s="1"/>
      <c r="C35" s="64"/>
      <c r="D35" s="5"/>
      <c r="E35" s="5"/>
      <c r="F35" s="5"/>
      <c r="G35" s="5"/>
      <c r="H35" s="5"/>
      <c r="I35" s="5"/>
      <c r="J35" s="5"/>
      <c r="K35" s="5"/>
    </row>
    <row r="36" spans="2:11" ht="15" thickBot="1">
      <c r="B36" s="1469" t="s">
        <v>45</v>
      </c>
      <c r="C36" s="1470"/>
      <c r="D36" s="1470"/>
      <c r="E36" s="1471"/>
      <c r="F36" s="5"/>
      <c r="G36" s="5"/>
      <c r="H36" s="5"/>
      <c r="I36" s="5"/>
      <c r="J36" s="5"/>
      <c r="K36" s="5"/>
    </row>
    <row r="37" spans="2:11" ht="15" thickBot="1">
      <c r="B37" s="1459">
        <v>1</v>
      </c>
      <c r="C37" s="73"/>
      <c r="D37" s="38" t="s">
        <v>38</v>
      </c>
      <c r="E37" s="177" t="s">
        <v>46</v>
      </c>
      <c r="F37" s="5"/>
      <c r="G37" s="5"/>
      <c r="H37" s="5"/>
      <c r="I37" s="5"/>
      <c r="J37" s="5"/>
      <c r="K37" s="5"/>
    </row>
    <row r="38" spans="2:11" ht="15" thickBot="1">
      <c r="B38" s="1460"/>
      <c r="C38" s="73"/>
      <c r="D38" s="32" t="s">
        <v>39</v>
      </c>
      <c r="E38" s="177" t="s">
        <v>47</v>
      </c>
      <c r="F38" s="5"/>
      <c r="G38" s="5"/>
      <c r="H38" s="5"/>
      <c r="I38" s="5"/>
      <c r="J38" s="5"/>
      <c r="K38" s="5"/>
    </row>
    <row r="39" spans="2:11" ht="15" thickBot="1">
      <c r="B39" s="1460"/>
      <c r="C39" s="73"/>
      <c r="D39" s="32" t="s">
        <v>40</v>
      </c>
      <c r="E39" s="279"/>
      <c r="F39" s="5"/>
      <c r="G39" s="5"/>
      <c r="H39" s="5"/>
      <c r="I39" s="5"/>
      <c r="J39" s="5"/>
      <c r="K39" s="5"/>
    </row>
    <row r="40" spans="2:11" ht="15" thickBot="1">
      <c r="B40" s="1460"/>
      <c r="C40" s="73"/>
      <c r="D40" s="32" t="s">
        <v>41</v>
      </c>
      <c r="E40" s="279"/>
      <c r="F40" s="5"/>
      <c r="G40" s="5"/>
      <c r="H40" s="5"/>
      <c r="I40" s="5"/>
      <c r="J40" s="5"/>
      <c r="K40" s="5"/>
    </row>
    <row r="41" spans="2:11" ht="15" thickBot="1">
      <c r="B41" s="1460"/>
      <c r="C41" s="73"/>
      <c r="D41" s="32" t="s">
        <v>42</v>
      </c>
      <c r="E41" s="279"/>
      <c r="F41" s="5"/>
      <c r="G41" s="5"/>
      <c r="H41" s="5"/>
      <c r="I41" s="5"/>
      <c r="J41" s="5"/>
      <c r="K41" s="5"/>
    </row>
    <row r="42" spans="2:11" ht="15" thickBot="1">
      <c r="B42" s="1460"/>
      <c r="C42" s="73"/>
      <c r="D42" s="32" t="s">
        <v>43</v>
      </c>
      <c r="E42" s="279"/>
      <c r="F42" s="5"/>
      <c r="G42" s="5"/>
      <c r="H42" s="5"/>
      <c r="I42" s="5"/>
      <c r="J42" s="5"/>
      <c r="K42" s="5"/>
    </row>
    <row r="43" spans="2:11" ht="15" thickBot="1">
      <c r="B43" s="1461"/>
      <c r="C43" s="2"/>
      <c r="D43" s="32" t="s">
        <v>44</v>
      </c>
      <c r="E43" s="279"/>
      <c r="F43" s="5"/>
      <c r="G43" s="5"/>
      <c r="H43" s="5"/>
      <c r="I43" s="5"/>
      <c r="J43" s="5"/>
      <c r="K43" s="5"/>
    </row>
    <row r="44" spans="2:11">
      <c r="B44" s="1"/>
      <c r="C44" s="64"/>
      <c r="D44" s="5"/>
      <c r="E44" s="5"/>
      <c r="F44" s="5"/>
      <c r="G44" s="5"/>
      <c r="H44" s="5"/>
      <c r="I44" s="5"/>
      <c r="J44" s="5"/>
      <c r="K44" s="5"/>
    </row>
    <row r="45" spans="2:11" ht="15" thickBot="1">
      <c r="B45" s="1"/>
      <c r="C45" s="64"/>
      <c r="D45" s="5"/>
      <c r="E45" s="5"/>
      <c r="F45" s="5"/>
      <c r="G45" s="5"/>
      <c r="H45" s="5"/>
      <c r="I45" s="5"/>
      <c r="J45" s="5"/>
      <c r="K45" s="5"/>
    </row>
    <row r="46" spans="2:11" ht="15" customHeight="1" thickBot="1">
      <c r="B46" s="97" t="s">
        <v>48</v>
      </c>
      <c r="C46" s="98"/>
      <c r="D46" s="98"/>
      <c r="E46" s="99"/>
      <c r="G46" s="5"/>
      <c r="H46" s="5"/>
      <c r="I46" s="5"/>
      <c r="J46" s="5"/>
      <c r="K46" s="5"/>
    </row>
    <row r="47" spans="2:11" ht="24.6" thickBot="1">
      <c r="B47" s="37" t="s">
        <v>49</v>
      </c>
      <c r="C47" s="32" t="s">
        <v>50</v>
      </c>
      <c r="D47" s="32" t="s">
        <v>51</v>
      </c>
      <c r="E47" s="32" t="s">
        <v>52</v>
      </c>
      <c r="F47" s="5"/>
      <c r="G47" s="5"/>
      <c r="H47" s="5"/>
      <c r="I47" s="5"/>
      <c r="J47" s="5"/>
    </row>
    <row r="48" spans="2:11" ht="96.6" thickBot="1">
      <c r="B48" s="39">
        <v>42401</v>
      </c>
      <c r="C48" s="32">
        <v>0.01</v>
      </c>
      <c r="D48" s="40" t="s">
        <v>988</v>
      </c>
      <c r="E48" s="32"/>
      <c r="F48" s="5"/>
      <c r="G48" s="5"/>
      <c r="H48" s="5"/>
      <c r="I48" s="5"/>
      <c r="J48" s="5"/>
    </row>
    <row r="49" spans="2:11" ht="15" thickBot="1">
      <c r="B49" s="3"/>
      <c r="C49" s="74"/>
      <c r="D49" s="5"/>
      <c r="E49" s="5"/>
      <c r="F49" s="5"/>
      <c r="G49" s="5"/>
      <c r="H49" s="5"/>
      <c r="I49" s="5"/>
      <c r="J49" s="5"/>
      <c r="K49" s="5"/>
    </row>
    <row r="50" spans="2:11">
      <c r="B50" s="106" t="s">
        <v>54</v>
      </c>
      <c r="C50" s="75"/>
      <c r="D50" s="5"/>
      <c r="E50" s="5"/>
      <c r="F50" s="5"/>
      <c r="G50" s="5"/>
      <c r="H50" s="5"/>
      <c r="I50" s="5"/>
      <c r="J50" s="5"/>
      <c r="K50" s="5"/>
    </row>
    <row r="51" spans="2:11">
      <c r="B51" s="1732"/>
      <c r="C51" s="1733"/>
      <c r="D51" s="1733"/>
      <c r="E51" s="1734"/>
      <c r="F51" s="5"/>
      <c r="G51" s="5"/>
      <c r="H51" s="5"/>
      <c r="I51" s="5"/>
      <c r="J51" s="5"/>
      <c r="K51" s="5"/>
    </row>
    <row r="52" spans="2:11">
      <c r="B52" s="1735"/>
      <c r="C52" s="1736"/>
      <c r="D52" s="1736"/>
      <c r="E52" s="1737"/>
      <c r="F52" s="5"/>
      <c r="G52" s="5"/>
      <c r="H52" s="5"/>
      <c r="I52" s="5"/>
      <c r="J52" s="5"/>
      <c r="K52" s="5"/>
    </row>
    <row r="53" spans="2:11">
      <c r="B53" s="1"/>
      <c r="C53" s="64"/>
      <c r="D53" s="5"/>
      <c r="E53" s="5"/>
      <c r="F53" s="5"/>
      <c r="G53" s="5"/>
      <c r="H53" s="5"/>
      <c r="I53" s="5"/>
      <c r="J53" s="5"/>
      <c r="K53" s="5"/>
    </row>
    <row r="54" spans="2:11" ht="15" thickBot="1">
      <c r="B54" s="5"/>
      <c r="D54" s="5"/>
      <c r="E54" s="5"/>
      <c r="F54" s="5"/>
      <c r="G54" s="5"/>
      <c r="H54" s="5"/>
      <c r="I54" s="5"/>
      <c r="J54" s="5"/>
      <c r="K54" s="5"/>
    </row>
    <row r="55" spans="2:11" ht="15" thickBot="1">
      <c r="B55" s="1469" t="s">
        <v>55</v>
      </c>
      <c r="C55" s="1470"/>
      <c r="D55" s="1471"/>
      <c r="E55" s="5"/>
      <c r="F55" s="5"/>
      <c r="G55" s="5"/>
      <c r="H55" s="5"/>
      <c r="I55" s="5"/>
      <c r="J55" s="5"/>
      <c r="K55" s="5"/>
    </row>
    <row r="56" spans="2:11" ht="84">
      <c r="B56" s="1459" t="s">
        <v>56</v>
      </c>
      <c r="C56" s="73"/>
      <c r="D56" s="36" t="s">
        <v>961</v>
      </c>
      <c r="E56" s="5"/>
      <c r="F56" s="5"/>
      <c r="G56" s="5"/>
      <c r="H56" s="5"/>
      <c r="I56" s="5"/>
      <c r="J56" s="5"/>
      <c r="K56" s="5"/>
    </row>
    <row r="57" spans="2:11">
      <c r="B57" s="1460"/>
      <c r="C57" s="73"/>
      <c r="D57" s="43" t="s">
        <v>59</v>
      </c>
      <c r="E57" s="5"/>
      <c r="F57" s="5"/>
      <c r="G57" s="5"/>
      <c r="H57" s="5"/>
      <c r="I57" s="5"/>
      <c r="J57" s="5"/>
      <c r="K57" s="5"/>
    </row>
    <row r="58" spans="2:11" ht="96">
      <c r="B58" s="1460"/>
      <c r="C58" s="73"/>
      <c r="D58" s="36" t="s">
        <v>962</v>
      </c>
      <c r="E58" s="5"/>
      <c r="F58" s="5"/>
      <c r="G58" s="5"/>
      <c r="H58" s="5"/>
      <c r="I58" s="5"/>
      <c r="J58" s="5"/>
      <c r="K58" s="5"/>
    </row>
    <row r="59" spans="2:11">
      <c r="B59" s="1460"/>
      <c r="C59" s="73"/>
      <c r="D59" s="43" t="s">
        <v>62</v>
      </c>
      <c r="E59" s="5"/>
      <c r="F59" s="5"/>
      <c r="G59" s="5"/>
      <c r="H59" s="5"/>
      <c r="I59" s="5"/>
      <c r="J59" s="5"/>
      <c r="K59" s="5"/>
    </row>
    <row r="60" spans="2:11" ht="264.60000000000002" thickBot="1">
      <c r="B60" s="1461"/>
      <c r="C60" s="2"/>
      <c r="D60" s="32" t="s">
        <v>963</v>
      </c>
      <c r="E60" s="5"/>
      <c r="F60" s="5"/>
      <c r="G60" s="5"/>
      <c r="H60" s="5"/>
      <c r="I60" s="5"/>
      <c r="J60" s="5"/>
      <c r="K60" s="5"/>
    </row>
    <row r="61" spans="2:11" ht="252">
      <c r="B61" s="1459" t="s">
        <v>58</v>
      </c>
      <c r="C61" s="73"/>
      <c r="D61" s="21" t="s">
        <v>964</v>
      </c>
      <c r="E61" s="5"/>
      <c r="F61" s="5"/>
      <c r="G61" s="5"/>
      <c r="H61" s="5"/>
      <c r="I61" s="5"/>
      <c r="J61" s="5"/>
      <c r="K61" s="5"/>
    </row>
    <row r="62" spans="2:11" ht="180">
      <c r="B62" s="1460"/>
      <c r="C62" s="73"/>
      <c r="D62" s="21" t="s">
        <v>965</v>
      </c>
      <c r="E62" s="5"/>
      <c r="F62" s="5"/>
      <c r="G62" s="5"/>
      <c r="H62" s="5"/>
      <c r="I62" s="5"/>
      <c r="J62" s="5"/>
      <c r="K62" s="5"/>
    </row>
    <row r="63" spans="2:11" ht="24">
      <c r="B63" s="1460"/>
      <c r="C63" s="73"/>
      <c r="D63" s="21" t="s">
        <v>966</v>
      </c>
      <c r="E63" s="5"/>
      <c r="F63" s="5"/>
      <c r="G63" s="5"/>
      <c r="H63" s="5"/>
      <c r="I63" s="5"/>
      <c r="J63" s="5"/>
      <c r="K63" s="5"/>
    </row>
    <row r="64" spans="2:11" ht="24">
      <c r="B64" s="1460"/>
      <c r="C64" s="73"/>
      <c r="D64" s="21" t="s">
        <v>967</v>
      </c>
      <c r="E64" s="5"/>
      <c r="F64" s="5"/>
      <c r="G64" s="5"/>
      <c r="H64" s="5"/>
      <c r="I64" s="5"/>
      <c r="J64" s="5"/>
      <c r="K64" s="5"/>
    </row>
    <row r="65" spans="2:11">
      <c r="B65" s="1460"/>
      <c r="C65" s="73"/>
      <c r="D65" s="43" t="s">
        <v>287</v>
      </c>
      <c r="E65" s="5"/>
      <c r="F65" s="5"/>
      <c r="G65" s="5"/>
      <c r="H65" s="5"/>
      <c r="I65" s="5"/>
      <c r="J65" s="5"/>
      <c r="K65" s="5"/>
    </row>
    <row r="66" spans="2:11" ht="15" thickBot="1">
      <c r="B66" s="1461"/>
      <c r="C66" s="2"/>
      <c r="D66" s="32" t="s">
        <v>288</v>
      </c>
      <c r="E66" s="5"/>
      <c r="F66" s="5"/>
      <c r="G66" s="5"/>
      <c r="H66" s="5"/>
      <c r="I66" s="5"/>
      <c r="J66" s="5"/>
      <c r="K66" s="5"/>
    </row>
    <row r="67" spans="2:11" ht="24.6" thickBot="1">
      <c r="B67" s="37" t="s">
        <v>71</v>
      </c>
      <c r="C67" s="2"/>
      <c r="D67" s="32"/>
      <c r="E67" s="5"/>
      <c r="F67" s="5"/>
      <c r="G67" s="5"/>
      <c r="H67" s="5"/>
      <c r="I67" s="5"/>
      <c r="J67" s="5"/>
      <c r="K67" s="5"/>
    </row>
    <row r="68" spans="2:11" ht="264">
      <c r="B68" s="1459" t="s">
        <v>72</v>
      </c>
      <c r="C68" s="73"/>
      <c r="D68" s="36" t="s">
        <v>968</v>
      </c>
      <c r="E68" s="5"/>
      <c r="F68" s="5"/>
      <c r="G68" s="5"/>
      <c r="H68" s="5"/>
      <c r="I68" s="5"/>
      <c r="J68" s="5"/>
      <c r="K68" s="5"/>
    </row>
    <row r="69" spans="2:11" ht="156">
      <c r="B69" s="1460"/>
      <c r="C69" s="73"/>
      <c r="D69" s="36" t="s">
        <v>969</v>
      </c>
      <c r="E69" s="5"/>
      <c r="F69" s="5"/>
      <c r="G69" s="5"/>
      <c r="H69" s="5"/>
      <c r="I69" s="5"/>
      <c r="J69" s="5"/>
      <c r="K69" s="5"/>
    </row>
    <row r="70" spans="2:11" ht="84">
      <c r="B70" s="1460"/>
      <c r="C70" s="73"/>
      <c r="D70" s="36" t="s">
        <v>970</v>
      </c>
      <c r="E70" s="5"/>
      <c r="F70" s="5"/>
      <c r="G70" s="5"/>
      <c r="H70" s="5"/>
      <c r="I70" s="5"/>
      <c r="J70" s="5"/>
      <c r="K70" s="5"/>
    </row>
    <row r="71" spans="2:11" ht="72">
      <c r="B71" s="1460"/>
      <c r="C71" s="73"/>
      <c r="D71" s="36" t="s">
        <v>971</v>
      </c>
      <c r="E71" s="5"/>
      <c r="F71" s="5"/>
      <c r="G71" s="5"/>
      <c r="H71" s="5"/>
      <c r="I71" s="5"/>
      <c r="J71" s="5"/>
      <c r="K71" s="5"/>
    </row>
    <row r="72" spans="2:11" ht="180">
      <c r="B72" s="1460"/>
      <c r="C72" s="73"/>
      <c r="D72" s="36" t="s">
        <v>972</v>
      </c>
      <c r="E72" s="5"/>
      <c r="F72" s="5"/>
      <c r="G72" s="5"/>
      <c r="H72" s="5"/>
      <c r="I72" s="5"/>
      <c r="J72" s="5"/>
      <c r="K72" s="5"/>
    </row>
    <row r="73" spans="2:11" ht="36">
      <c r="B73" s="1460"/>
      <c r="C73" s="73"/>
      <c r="D73" s="36" t="s">
        <v>973</v>
      </c>
      <c r="E73" s="5"/>
      <c r="F73" s="5"/>
      <c r="G73" s="5"/>
      <c r="H73" s="5"/>
      <c r="I73" s="5"/>
      <c r="J73" s="5"/>
      <c r="K73" s="5"/>
    </row>
    <row r="74" spans="2:11" ht="72">
      <c r="B74" s="1460"/>
      <c r="C74" s="73"/>
      <c r="D74" s="51" t="s">
        <v>974</v>
      </c>
      <c r="E74" s="5"/>
      <c r="F74" s="5"/>
      <c r="G74" s="5"/>
      <c r="H74" s="5"/>
      <c r="I74" s="5"/>
      <c r="J74" s="5"/>
      <c r="K74" s="5"/>
    </row>
    <row r="75" spans="2:11" ht="48">
      <c r="B75" s="1460"/>
      <c r="C75" s="73"/>
      <c r="D75" s="51" t="s">
        <v>975</v>
      </c>
      <c r="E75" s="5"/>
      <c r="F75" s="5"/>
      <c r="G75" s="5"/>
      <c r="H75" s="5"/>
      <c r="I75" s="5"/>
      <c r="J75" s="5"/>
      <c r="K75" s="5"/>
    </row>
    <row r="76" spans="2:11" ht="40.200000000000003" thickBot="1">
      <c r="B76" s="1461"/>
      <c r="C76" s="2"/>
      <c r="D76" s="52" t="s">
        <v>976</v>
      </c>
      <c r="E76" s="5"/>
      <c r="F76" s="5"/>
      <c r="G76" s="5"/>
      <c r="H76" s="5"/>
      <c r="I76" s="5"/>
      <c r="J76" s="5"/>
      <c r="K76" s="5"/>
    </row>
    <row r="77" spans="2:11" ht="15" thickBot="1">
      <c r="B77" s="1"/>
      <c r="C77" s="64"/>
      <c r="D77" s="5"/>
      <c r="E77" s="5"/>
      <c r="F77" s="5"/>
      <c r="G77" s="5"/>
      <c r="H77" s="5"/>
      <c r="I77" s="5"/>
      <c r="J77" s="5"/>
      <c r="K77" s="5"/>
    </row>
    <row r="78" spans="2:11" ht="36">
      <c r="B78" s="1459" t="s">
        <v>89</v>
      </c>
      <c r="C78" s="84"/>
      <c r="D78" s="54" t="s">
        <v>977</v>
      </c>
      <c r="E78" s="5"/>
      <c r="F78" s="5"/>
      <c r="G78" s="5"/>
      <c r="H78" s="5"/>
      <c r="I78" s="5"/>
      <c r="J78" s="5"/>
      <c r="K78" s="5"/>
    </row>
    <row r="79" spans="2:11">
      <c r="B79" s="1460"/>
      <c r="C79" s="73"/>
      <c r="D79" s="13"/>
      <c r="E79" s="5"/>
      <c r="F79" s="5"/>
      <c r="G79" s="5"/>
      <c r="H79" s="5"/>
      <c r="I79" s="5"/>
      <c r="J79" s="5"/>
      <c r="K79" s="5"/>
    </row>
    <row r="80" spans="2:11">
      <c r="B80" s="1460"/>
      <c r="C80" s="73"/>
      <c r="D80" s="36" t="s">
        <v>90</v>
      </c>
      <c r="E80" s="5"/>
      <c r="F80" s="5"/>
      <c r="G80" s="5"/>
      <c r="H80" s="5"/>
      <c r="I80" s="5"/>
      <c r="J80" s="5"/>
      <c r="K80" s="5"/>
    </row>
    <row r="81" spans="2:11" ht="74.400000000000006">
      <c r="B81" s="1460"/>
      <c r="C81" s="73"/>
      <c r="D81" s="36" t="s">
        <v>978</v>
      </c>
      <c r="E81" s="5"/>
      <c r="F81" s="5"/>
      <c r="G81" s="5"/>
      <c r="H81" s="5"/>
      <c r="I81" s="5"/>
      <c r="J81" s="5"/>
      <c r="K81" s="5"/>
    </row>
    <row r="82" spans="2:11" ht="62.4">
      <c r="B82" s="1460"/>
      <c r="C82" s="73"/>
      <c r="D82" s="36" t="s">
        <v>979</v>
      </c>
      <c r="E82" s="5"/>
      <c r="F82" s="5"/>
      <c r="G82" s="5"/>
      <c r="H82" s="5"/>
      <c r="I82" s="5"/>
      <c r="J82" s="5"/>
      <c r="K82" s="5"/>
    </row>
    <row r="83" spans="2:11" ht="63" thickBot="1">
      <c r="B83" s="1461"/>
      <c r="C83" s="2"/>
      <c r="D83" s="32" t="s">
        <v>980</v>
      </c>
      <c r="E83" s="5"/>
      <c r="F83" s="5"/>
      <c r="G83" s="5"/>
      <c r="H83" s="5"/>
      <c r="I83" s="5"/>
      <c r="J83" s="5"/>
      <c r="K83" s="5"/>
    </row>
    <row r="84" spans="2:11">
      <c r="B84" s="5"/>
      <c r="D84" s="5"/>
      <c r="E84" s="5"/>
      <c r="F84" s="5"/>
      <c r="G84" s="5"/>
      <c r="H84" s="5"/>
      <c r="I84" s="5"/>
      <c r="J84" s="5"/>
      <c r="K84" s="5"/>
    </row>
  </sheetData>
  <sheetProtection insertRows="0"/>
  <mergeCells count="30">
    <mergeCell ref="G23:H23"/>
    <mergeCell ref="D13:J13"/>
    <mergeCell ref="D18:J18"/>
    <mergeCell ref="D19:J19"/>
    <mergeCell ref="A1:P1"/>
    <mergeCell ref="A2:P2"/>
    <mergeCell ref="A3:P3"/>
    <mergeCell ref="A4:D4"/>
    <mergeCell ref="A5:P5"/>
    <mergeCell ref="B9:D9"/>
    <mergeCell ref="F9:S9"/>
    <mergeCell ref="F10:S10"/>
    <mergeCell ref="E11:R11"/>
    <mergeCell ref="E12:R12"/>
    <mergeCell ref="B56:B60"/>
    <mergeCell ref="B61:B66"/>
    <mergeCell ref="B68:B76"/>
    <mergeCell ref="B78:B83"/>
    <mergeCell ref="B13:B23"/>
    <mergeCell ref="B55:D55"/>
    <mergeCell ref="D24:J24"/>
    <mergeCell ref="D25:J25"/>
    <mergeCell ref="B27:E27"/>
    <mergeCell ref="B28:B34"/>
    <mergeCell ref="B36:E36"/>
    <mergeCell ref="B37:B43"/>
    <mergeCell ref="B51:E52"/>
    <mergeCell ref="G20:H20"/>
    <mergeCell ref="G21:H21"/>
    <mergeCell ref="G22:H22"/>
  </mergeCells>
  <conditionalFormatting sqref="E11:R11">
    <cfRule type="expression" dxfId="24" priority="1">
      <formula>E10="SI SE REPORTA"</formula>
    </cfRule>
  </conditionalFormatting>
  <conditionalFormatting sqref="F9">
    <cfRule type="notContainsBlanks" dxfId="23" priority="4">
      <formula>LEN(TRIM(F9))&gt;0</formula>
    </cfRule>
  </conditionalFormatting>
  <conditionalFormatting sqref="F10:S10">
    <cfRule type="expression" dxfId="22" priority="2">
      <formula>E10="NO SE REPORTA"</formula>
    </cfRule>
    <cfRule type="expression" dxfId="21" priority="3">
      <formula>E9="NO APLICA"</formula>
    </cfRule>
  </conditionalFormatting>
  <dataValidations count="3">
    <dataValidation type="whole" operator="greaterThanOrEqual" allowBlank="1" showErrorMessage="1" errorTitle="ERROR" error="Escriba un número igual o mayor que 0" promptTitle="ERROR" prompt="Escriba un número igual o mayor que 0" sqref="E15:H16 E21:E23" xr:uid="{00000000-0002-0000-1C00-000000000000}">
      <formula1>0</formula1>
    </dataValidation>
    <dataValidation type="list" allowBlank="1" showInputMessage="1" showErrorMessage="1" sqref="E10" xr:uid="{00000000-0002-0000-1C00-000001000000}">
      <formula1>REPORTE</formula1>
    </dataValidation>
    <dataValidation type="list" allowBlank="1" showInputMessage="1" showErrorMessage="1" sqref="E9" xr:uid="{00000000-0002-0000-1C00-000002000000}">
      <formula1>SI</formula1>
    </dataValidation>
  </dataValidations>
  <hyperlinks>
    <hyperlink ref="B8" location="'ANEXO 3'!A1" display="VOLVER AL INDICE" xr:uid="{00000000-0004-0000-1C00-000000000000}"/>
    <hyperlink ref="E32" r:id="rId1" xr:uid="{00000000-0004-0000-1C00-000001000000}"/>
  </hyperlinks>
  <pageMargins left="0.25" right="0.25" top="0.75" bottom="0.75" header="0.3" footer="0.3"/>
  <pageSetup paperSize="178" orientation="landscape" horizontalDpi="1200" verticalDpi="1200"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5"/>
  <dimension ref="A1:U139"/>
  <sheetViews>
    <sheetView showGridLines="0" topLeftCell="A61" zoomScale="98" zoomScaleNormal="98" workbookViewId="0">
      <selection activeCell="D67" sqref="D67"/>
    </sheetView>
  </sheetViews>
  <sheetFormatPr baseColWidth="10" defaultRowHeight="14.4"/>
  <cols>
    <col min="1" max="1" width="1.88671875" customWidth="1"/>
    <col min="2" max="2" width="10.5546875" customWidth="1"/>
    <col min="3" max="3" width="5" style="66" bestFit="1" customWidth="1"/>
    <col min="4" max="4" width="34.88671875" customWidth="1"/>
    <col min="5" max="5" width="21.44140625" customWidth="1"/>
    <col min="6" max="6" width="13.88671875" customWidth="1"/>
  </cols>
  <sheetData>
    <row r="1" spans="1:21" s="314" customFormat="1" ht="100.5" customHeight="1" thickBot="1">
      <c r="A1" s="1421"/>
      <c r="B1" s="1422"/>
      <c r="C1" s="1422"/>
      <c r="D1" s="1422"/>
      <c r="E1" s="1422"/>
      <c r="F1" s="1422"/>
      <c r="G1" s="1422"/>
      <c r="H1" s="1422"/>
      <c r="I1" s="1422"/>
      <c r="J1" s="1422"/>
      <c r="K1" s="1422"/>
      <c r="L1" s="1422"/>
      <c r="M1" s="1422"/>
      <c r="N1" s="1422"/>
      <c r="O1" s="1422"/>
      <c r="P1" s="1423"/>
      <c r="Q1"/>
      <c r="R1"/>
    </row>
    <row r="2" spans="1:21" s="315" customFormat="1" ht="16.2" thickBot="1">
      <c r="A2" s="1418" t="str">
        <f>+'[8]Datos Generales'!C5</f>
        <v>Corporación Autónoma Regional del Atlántico – CRA</v>
      </c>
      <c r="B2" s="1419"/>
      <c r="C2" s="1419"/>
      <c r="D2" s="1419"/>
      <c r="E2" s="1419"/>
      <c r="F2" s="1419"/>
      <c r="G2" s="1419"/>
      <c r="H2" s="1419"/>
      <c r="I2" s="1419"/>
      <c r="J2" s="1419"/>
      <c r="K2" s="1419"/>
      <c r="L2" s="1419"/>
      <c r="M2" s="1419"/>
      <c r="N2" s="1419"/>
      <c r="O2" s="1419"/>
      <c r="P2" s="1420"/>
      <c r="Q2"/>
      <c r="R2"/>
    </row>
    <row r="3" spans="1:21" s="315" customFormat="1" ht="16.2" thickBot="1">
      <c r="A3" s="1426" t="s">
        <v>1295</v>
      </c>
      <c r="B3" s="1427"/>
      <c r="C3" s="1427"/>
      <c r="D3" s="1427"/>
      <c r="E3" s="1427"/>
      <c r="F3" s="1427"/>
      <c r="G3" s="1427"/>
      <c r="H3" s="1427"/>
      <c r="I3" s="1427"/>
      <c r="J3" s="1427"/>
      <c r="K3" s="1427"/>
      <c r="L3" s="1427"/>
      <c r="M3" s="1427"/>
      <c r="N3" s="1427"/>
      <c r="O3" s="1427"/>
      <c r="P3" s="1428"/>
      <c r="Q3"/>
      <c r="R3"/>
    </row>
    <row r="4" spans="1:21" s="315" customFormat="1" ht="16.2" thickBot="1">
      <c r="A4" s="1424" t="s">
        <v>1294</v>
      </c>
      <c r="B4" s="1425"/>
      <c r="C4" s="1425"/>
      <c r="D4" s="1425"/>
      <c r="E4" s="322" t="str">
        <f>+'[8]Datos Generales'!C6</f>
        <v>2023-II</v>
      </c>
      <c r="F4" s="322"/>
      <c r="G4" s="322"/>
      <c r="H4" s="322"/>
      <c r="I4" s="322"/>
      <c r="J4" s="322"/>
      <c r="K4" s="322"/>
      <c r="L4" s="323"/>
      <c r="M4" s="323"/>
      <c r="N4" s="323"/>
      <c r="O4" s="323"/>
      <c r="P4" s="324"/>
      <c r="Q4"/>
      <c r="R4"/>
    </row>
    <row r="5" spans="1:21" ht="16.5" customHeight="1" thickBot="1">
      <c r="A5" s="1426" t="s">
        <v>989</v>
      </c>
      <c r="B5" s="1427"/>
      <c r="C5" s="1427"/>
      <c r="D5" s="1427"/>
      <c r="E5" s="1427"/>
      <c r="F5" s="1427"/>
      <c r="G5" s="1427"/>
      <c r="H5" s="1427"/>
      <c r="I5" s="1427"/>
      <c r="J5" s="1427"/>
      <c r="K5" s="1427"/>
      <c r="L5" s="1427"/>
      <c r="M5" s="1427"/>
      <c r="N5" s="1427"/>
      <c r="O5" s="1427"/>
      <c r="P5" s="1428"/>
    </row>
    <row r="6" spans="1:21">
      <c r="B6" s="1" t="s">
        <v>1</v>
      </c>
      <c r="C6" s="64"/>
      <c r="D6" s="5"/>
      <c r="E6" s="166"/>
      <c r="F6" s="5" t="s">
        <v>127</v>
      </c>
      <c r="G6" s="5"/>
      <c r="H6" s="5"/>
      <c r="I6" s="5"/>
      <c r="J6" s="5"/>
      <c r="K6" s="5"/>
    </row>
    <row r="7" spans="1:21" ht="15" thickBot="1">
      <c r="B7" s="63"/>
      <c r="C7" s="65"/>
      <c r="D7" s="5"/>
      <c r="E7" s="14"/>
      <c r="F7" s="5" t="s">
        <v>128</v>
      </c>
      <c r="G7" s="5"/>
      <c r="H7" s="5"/>
      <c r="I7" s="5"/>
      <c r="J7" s="5"/>
      <c r="K7" s="5"/>
    </row>
    <row r="8" spans="1:21" ht="15" thickBot="1">
      <c r="B8" s="144" t="s">
        <v>1180</v>
      </c>
      <c r="C8" s="571">
        <v>2023</v>
      </c>
      <c r="D8" s="171">
        <f>IF(E10="NO APLICA","NO APLICA",IF(E11="NO SE REPORTA","SIN INFORMACION",+F81))</f>
        <v>1</v>
      </c>
      <c r="E8" s="168"/>
      <c r="F8" s="5" t="s">
        <v>129</v>
      </c>
      <c r="G8" s="5"/>
      <c r="H8" s="5"/>
      <c r="I8" s="5"/>
      <c r="J8" s="5"/>
      <c r="K8" s="5"/>
    </row>
    <row r="9" spans="1:21">
      <c r="B9" s="300" t="s">
        <v>1181</v>
      </c>
      <c r="C9" s="67"/>
      <c r="D9" s="5"/>
      <c r="E9" s="5"/>
      <c r="F9" s="5"/>
      <c r="G9" s="5"/>
      <c r="H9" s="5"/>
      <c r="I9" s="5"/>
      <c r="J9" s="5"/>
      <c r="K9" s="5"/>
    </row>
    <row r="10" spans="1:21">
      <c r="B10" s="1429" t="s">
        <v>1236</v>
      </c>
      <c r="C10" s="1429"/>
      <c r="D10" s="1429"/>
      <c r="E10" s="303" t="s">
        <v>1233</v>
      </c>
      <c r="F10" s="1436"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437"/>
      <c r="H10" s="1437"/>
      <c r="I10" s="1437"/>
      <c r="J10" s="1437"/>
      <c r="K10" s="1437"/>
      <c r="L10" s="1437"/>
      <c r="M10" s="1437"/>
      <c r="N10" s="1437"/>
      <c r="O10" s="1437"/>
      <c r="P10" s="1437"/>
      <c r="Q10" s="1437"/>
      <c r="R10" s="1437"/>
      <c r="S10" s="1437"/>
      <c r="T10" s="5"/>
      <c r="U10" s="5"/>
    </row>
    <row r="11" spans="1:21" ht="14.4" customHeight="1">
      <c r="B11" s="302"/>
      <c r="C11" s="67"/>
      <c r="D11" s="144" t="str">
        <f>IF(E10="SI APLICA","¿El indicador no se reporta por limitaciones de información disponible? ","")</f>
        <v xml:space="preserve">¿El indicador no se reporta por limitaciones de información disponible? </v>
      </c>
      <c r="E11" s="304" t="s">
        <v>1235</v>
      </c>
      <c r="F11" s="1430"/>
      <c r="G11" s="1431"/>
      <c r="H11" s="1431"/>
      <c r="I11" s="1431"/>
      <c r="J11" s="1431"/>
      <c r="K11" s="1431"/>
      <c r="L11" s="1431"/>
      <c r="M11" s="1431"/>
      <c r="N11" s="1431"/>
      <c r="O11" s="1431"/>
      <c r="P11" s="1431"/>
      <c r="Q11" s="1431"/>
      <c r="R11" s="1431"/>
      <c r="S11" s="1431"/>
    </row>
    <row r="12" spans="1:21" ht="23.4" customHeight="1">
      <c r="B12" s="300"/>
      <c r="C12" s="67"/>
      <c r="D12" s="144" t="str">
        <f>IF(E11="SI SE REPORTA","¿Qué programas o proyectos del Plan de Acción están asociados al indicador? ","")</f>
        <v xml:space="preserve">¿Qué programas o proyectos del Plan de Acción están asociados al indicador? </v>
      </c>
      <c r="E12" s="1560" t="s">
        <v>1892</v>
      </c>
      <c r="F12" s="1560"/>
      <c r="G12" s="1560"/>
      <c r="H12" s="1560"/>
      <c r="I12" s="1560"/>
      <c r="J12" s="1560"/>
      <c r="K12" s="1560"/>
      <c r="L12" s="1560"/>
      <c r="M12" s="1560"/>
      <c r="N12" s="1560"/>
      <c r="O12" s="1560"/>
      <c r="P12" s="1560"/>
      <c r="Q12" s="1560"/>
      <c r="R12" s="1560"/>
    </row>
    <row r="13" spans="1:21" ht="155.25" customHeight="1">
      <c r="B13" s="300"/>
      <c r="C13" s="67"/>
      <c r="D13" s="144" t="s">
        <v>1238</v>
      </c>
      <c r="E13" s="1596" t="s">
        <v>2809</v>
      </c>
      <c r="F13" s="1597"/>
      <c r="G13" s="1597"/>
      <c r="H13" s="1597"/>
      <c r="I13" s="1597"/>
      <c r="J13" s="1597"/>
      <c r="K13" s="1597"/>
      <c r="L13" s="1597"/>
      <c r="M13" s="1597"/>
      <c r="N13" s="1597"/>
      <c r="O13" s="1597"/>
      <c r="P13" s="1597"/>
      <c r="Q13" s="1597"/>
      <c r="R13" s="1598"/>
    </row>
    <row r="14" spans="1:21" ht="48.75" customHeight="1" thickBot="1">
      <c r="B14" s="300"/>
      <c r="C14" s="67"/>
      <c r="D14" s="5"/>
      <c r="E14" s="5"/>
      <c r="F14" s="5"/>
      <c r="G14" s="5"/>
      <c r="H14" s="5"/>
      <c r="I14" s="5"/>
      <c r="J14" s="5"/>
      <c r="K14" s="5"/>
    </row>
    <row r="15" spans="1:21" ht="15" customHeight="1" thickTop="1">
      <c r="B15" s="1561" t="s">
        <v>2</v>
      </c>
      <c r="C15" s="68"/>
      <c r="D15" s="1450" t="s">
        <v>3</v>
      </c>
      <c r="E15" s="1451"/>
      <c r="F15" s="1451"/>
      <c r="G15" s="1451"/>
      <c r="H15" s="1451"/>
      <c r="I15" s="1451"/>
      <c r="J15" s="1451"/>
      <c r="K15" s="1451"/>
      <c r="L15" s="1643"/>
      <c r="M15" s="1624"/>
    </row>
    <row r="16" spans="1:21">
      <c r="B16" s="1484"/>
      <c r="C16" s="71"/>
      <c r="D16" s="1667" t="s">
        <v>1008</v>
      </c>
      <c r="E16" s="1668"/>
      <c r="F16" s="1668"/>
      <c r="G16" s="1668"/>
      <c r="H16" s="1668"/>
      <c r="I16" s="1668"/>
      <c r="J16" s="1668"/>
      <c r="K16" s="1668"/>
      <c r="L16" s="1747"/>
      <c r="M16" s="1698"/>
    </row>
    <row r="17" spans="2:13" ht="15" thickBot="1">
      <c r="B17" s="1484"/>
      <c r="C17" s="71"/>
      <c r="D17" s="1441" t="s">
        <v>1009</v>
      </c>
      <c r="E17" s="1442"/>
      <c r="F17" s="1442"/>
      <c r="G17" s="1442"/>
      <c r="H17" s="1442"/>
      <c r="I17" s="1442"/>
      <c r="J17" s="1442"/>
      <c r="K17" s="1442"/>
      <c r="L17" s="1636"/>
      <c r="M17" s="1607"/>
    </row>
    <row r="18" spans="2:13" ht="15" thickBot="1">
      <c r="B18" s="1484"/>
      <c r="C18" s="73"/>
      <c r="D18" s="1749" t="s">
        <v>1010</v>
      </c>
      <c r="E18" s="1630" t="s">
        <v>1011</v>
      </c>
      <c r="F18" s="1639"/>
      <c r="G18" s="1630" t="s">
        <v>1012</v>
      </c>
      <c r="H18" s="1639"/>
      <c r="I18" s="1630" t="s">
        <v>150</v>
      </c>
      <c r="J18" s="1639"/>
      <c r="K18" s="49"/>
      <c r="M18" s="10"/>
    </row>
    <row r="19" spans="2:13" ht="15" thickBot="1">
      <c r="B19" s="1484"/>
      <c r="C19" s="73"/>
      <c r="D19" s="1750"/>
      <c r="E19" s="31" t="s">
        <v>1013</v>
      </c>
      <c r="F19" s="31" t="s">
        <v>1014</v>
      </c>
      <c r="G19" s="31" t="s">
        <v>1013</v>
      </c>
      <c r="H19" s="31" t="s">
        <v>1014</v>
      </c>
      <c r="I19" s="31" t="s">
        <v>1013</v>
      </c>
      <c r="J19" s="31" t="s">
        <v>1014</v>
      </c>
      <c r="M19" s="10"/>
    </row>
    <row r="20" spans="2:13" ht="15" thickBot="1">
      <c r="B20" s="175"/>
      <c r="C20" s="73"/>
      <c r="D20" s="31" t="s">
        <v>1015</v>
      </c>
      <c r="E20" s="6">
        <v>0</v>
      </c>
      <c r="F20" s="6"/>
      <c r="G20" s="6">
        <v>0</v>
      </c>
      <c r="H20" s="6"/>
      <c r="I20" s="164">
        <f>+E20+G20</f>
        <v>0</v>
      </c>
      <c r="J20" s="164">
        <f>+F20+H20</f>
        <v>0</v>
      </c>
      <c r="M20" s="10"/>
    </row>
    <row r="21" spans="2:13">
      <c r="B21" s="175"/>
      <c r="C21" s="80"/>
      <c r="D21" s="1441"/>
      <c r="E21" s="1442"/>
      <c r="F21" s="1442"/>
      <c r="G21" s="1442"/>
      <c r="H21" s="1442"/>
      <c r="I21" s="1442"/>
      <c r="J21" s="1442"/>
      <c r="K21" s="1442"/>
      <c r="L21" s="1636"/>
      <c r="M21" s="1607"/>
    </row>
    <row r="22" spans="2:13" ht="15" thickBot="1">
      <c r="B22" s="175"/>
      <c r="C22" s="71"/>
      <c r="D22" s="107"/>
      <c r="E22" s="107"/>
      <c r="F22" s="290" t="s">
        <v>54</v>
      </c>
      <c r="G22" s="107"/>
      <c r="H22" s="107"/>
      <c r="I22" s="107"/>
      <c r="J22" s="107"/>
      <c r="K22" s="107"/>
      <c r="L22" s="287"/>
      <c r="M22" s="288"/>
    </row>
    <row r="23" spans="2:13" ht="24.6" thickBot="1">
      <c r="B23" s="175"/>
      <c r="C23" s="73"/>
      <c r="D23" s="34" t="s">
        <v>1016</v>
      </c>
      <c r="E23" s="286">
        <f>+I20</f>
        <v>0</v>
      </c>
      <c r="F23" s="289"/>
      <c r="G23" s="5"/>
      <c r="H23" s="5"/>
      <c r="I23" s="5"/>
      <c r="J23" s="5"/>
      <c r="K23" s="5"/>
      <c r="M23" s="10"/>
    </row>
    <row r="24" spans="2:13" ht="24.6" thickBot="1">
      <c r="B24" s="175"/>
      <c r="C24" s="73"/>
      <c r="D24" s="32" t="s">
        <v>1017</v>
      </c>
      <c r="E24" s="286">
        <f>+J20</f>
        <v>0</v>
      </c>
      <c r="F24" s="150"/>
      <c r="G24" s="5"/>
      <c r="H24" s="5"/>
      <c r="I24" s="5"/>
      <c r="J24" s="5"/>
      <c r="K24" s="5"/>
      <c r="M24" s="10"/>
    </row>
    <row r="25" spans="2:13" ht="24.6" thickBot="1">
      <c r="B25" s="175"/>
      <c r="C25" s="73"/>
      <c r="D25" s="32" t="s">
        <v>1018</v>
      </c>
      <c r="E25" s="276" t="e">
        <f>+E24/E23</f>
        <v>#DIV/0!</v>
      </c>
      <c r="F25" s="150"/>
      <c r="G25" s="5"/>
      <c r="H25" s="5"/>
      <c r="I25" s="5"/>
      <c r="J25" s="5"/>
      <c r="K25" s="5"/>
      <c r="M25" s="10"/>
    </row>
    <row r="26" spans="2:13">
      <c r="B26" s="175"/>
      <c r="C26" s="71"/>
      <c r="D26" s="1667" t="s">
        <v>1019</v>
      </c>
      <c r="E26" s="1668"/>
      <c r="F26" s="1668"/>
      <c r="G26" s="1668"/>
      <c r="H26" s="1668"/>
      <c r="I26" s="1668"/>
      <c r="J26" s="1668"/>
      <c r="K26" s="1668"/>
      <c r="L26" s="1747"/>
      <c r="M26" s="1698"/>
    </row>
    <row r="27" spans="2:13" ht="15" thickBot="1">
      <c r="B27" s="175"/>
      <c r="C27" s="71"/>
      <c r="D27" s="1453" t="s">
        <v>1020</v>
      </c>
      <c r="E27" s="1454"/>
      <c r="F27" s="1454"/>
      <c r="G27" s="1454"/>
      <c r="H27" s="1454"/>
      <c r="I27" s="1454"/>
      <c r="J27" s="1454"/>
      <c r="K27" s="1454"/>
      <c r="L27" s="1635"/>
      <c r="M27" s="1608"/>
    </row>
    <row r="28" spans="2:13" ht="24.6" thickBot="1">
      <c r="B28" s="175"/>
      <c r="C28" s="73"/>
      <c r="D28" s="34" t="s">
        <v>1021</v>
      </c>
      <c r="E28" s="275"/>
      <c r="F28" s="5"/>
      <c r="G28" s="5"/>
      <c r="H28" s="5"/>
      <c r="I28" s="5"/>
      <c r="J28" s="5"/>
      <c r="K28" s="5"/>
      <c r="M28" s="10"/>
    </row>
    <row r="29" spans="2:13" ht="24.6" thickBot="1">
      <c r="B29" s="175"/>
      <c r="C29" s="73"/>
      <c r="D29" s="32" t="s">
        <v>1022</v>
      </c>
      <c r="E29" s="275"/>
      <c r="F29" s="5"/>
      <c r="G29" s="5"/>
      <c r="H29" s="5"/>
      <c r="I29" s="5"/>
      <c r="J29" s="5"/>
      <c r="K29" s="5"/>
      <c r="M29" s="10"/>
    </row>
    <row r="30" spans="2:13" ht="24.6" thickBot="1">
      <c r="B30" s="175"/>
      <c r="C30" s="73"/>
      <c r="D30" s="32" t="s">
        <v>1023</v>
      </c>
      <c r="E30" s="275">
        <v>0</v>
      </c>
      <c r="F30" s="5"/>
      <c r="G30" s="5"/>
      <c r="H30" s="5"/>
      <c r="I30" s="5"/>
      <c r="J30" s="5"/>
      <c r="K30" s="5"/>
      <c r="M30" s="10"/>
    </row>
    <row r="31" spans="2:13" ht="15" thickBot="1">
      <c r="B31" s="175"/>
      <c r="C31" s="71"/>
      <c r="D31" s="1472" t="s">
        <v>1024</v>
      </c>
      <c r="E31" s="1473"/>
      <c r="F31" s="1473"/>
      <c r="G31" s="1473"/>
      <c r="H31" s="1473"/>
      <c r="I31" s="1473"/>
      <c r="J31" s="1473"/>
      <c r="K31" s="1473"/>
      <c r="L31" s="1748"/>
      <c r="M31" s="1609"/>
    </row>
    <row r="32" spans="2:13" ht="15" thickBot="1">
      <c r="B32" s="175"/>
      <c r="C32" s="77" t="s">
        <v>18</v>
      </c>
      <c r="D32" s="34" t="s">
        <v>1025</v>
      </c>
      <c r="E32" s="6"/>
      <c r="F32" s="206"/>
      <c r="G32" s="206"/>
      <c r="H32" s="206"/>
      <c r="I32" s="206"/>
      <c r="J32" s="206"/>
      <c r="K32" s="206"/>
      <c r="L32" s="273"/>
      <c r="M32" s="95"/>
    </row>
    <row r="33" spans="2:13" ht="15" thickBot="1">
      <c r="B33" s="175"/>
      <c r="C33" s="2" t="s">
        <v>151</v>
      </c>
      <c r="D33" s="32" t="s">
        <v>1026</v>
      </c>
      <c r="E33" s="223"/>
      <c r="F33" s="291"/>
      <c r="G33" s="291"/>
      <c r="H33" s="291"/>
      <c r="I33" s="291"/>
      <c r="J33" s="291"/>
      <c r="K33" s="291"/>
      <c r="L33" s="292"/>
      <c r="M33" s="8"/>
    </row>
    <row r="34" spans="2:13" ht="15" thickBot="1">
      <c r="B34" s="175"/>
      <c r="C34" s="2" t="s">
        <v>153</v>
      </c>
      <c r="D34" s="103" t="s">
        <v>1027</v>
      </c>
      <c r="E34" s="631"/>
      <c r="F34" s="628"/>
      <c r="G34" s="294"/>
      <c r="H34" s="294"/>
      <c r="I34" s="294"/>
      <c r="J34" s="294"/>
      <c r="K34" s="294"/>
      <c r="L34" s="295"/>
      <c r="M34" s="10"/>
    </row>
    <row r="35" spans="2:13" ht="15" thickBot="1">
      <c r="B35" s="175"/>
      <c r="C35" s="2" t="s">
        <v>155</v>
      </c>
      <c r="D35" s="103" t="s">
        <v>1028</v>
      </c>
      <c r="E35" s="631"/>
      <c r="F35" s="629"/>
      <c r="G35" s="275"/>
      <c r="H35" s="275"/>
      <c r="I35" s="275"/>
      <c r="J35" s="275"/>
      <c r="K35" s="275"/>
      <c r="L35" s="296"/>
      <c r="M35" s="10"/>
    </row>
    <row r="36" spans="2:13" ht="15" thickBot="1">
      <c r="B36" s="175"/>
      <c r="C36" s="2" t="s">
        <v>257</v>
      </c>
      <c r="D36" s="103" t="s">
        <v>1029</v>
      </c>
      <c r="E36" s="632"/>
      <c r="F36" s="630"/>
      <c r="G36" s="297"/>
      <c r="H36" s="297"/>
      <c r="I36" s="297"/>
      <c r="J36" s="297"/>
      <c r="K36" s="297"/>
      <c r="L36" s="298"/>
      <c r="M36" s="10"/>
    </row>
    <row r="37" spans="2:13" ht="24.6" thickBot="1">
      <c r="B37" s="175"/>
      <c r="C37" s="1562" t="s">
        <v>259</v>
      </c>
      <c r="D37" s="36" t="s">
        <v>1030</v>
      </c>
      <c r="E37" s="293" t="str">
        <f>IFERROR(E36/E35,"N.A.")</f>
        <v>N.A.</v>
      </c>
      <c r="F37" s="293" t="str">
        <f t="shared" ref="F37:L37" si="0">IFERROR(F36/F35,"N.A.")</f>
        <v>N.A.</v>
      </c>
      <c r="G37" s="293" t="str">
        <f t="shared" si="0"/>
        <v>N.A.</v>
      </c>
      <c r="H37" s="293" t="str">
        <f t="shared" si="0"/>
        <v>N.A.</v>
      </c>
      <c r="I37" s="293" t="str">
        <f t="shared" si="0"/>
        <v>N.A.</v>
      </c>
      <c r="J37" s="293" t="str">
        <f t="shared" si="0"/>
        <v>N.A.</v>
      </c>
      <c r="K37" s="293" t="str">
        <f t="shared" si="0"/>
        <v>N.A.</v>
      </c>
      <c r="L37" s="293" t="str">
        <f t="shared" si="0"/>
        <v>N.A.</v>
      </c>
      <c r="M37" s="8"/>
    </row>
    <row r="38" spans="2:13" ht="15" thickBot="1">
      <c r="B38" s="175"/>
      <c r="C38" s="1563"/>
      <c r="D38" s="32" t="s">
        <v>1031</v>
      </c>
      <c r="E38" s="122" t="str">
        <f>+IF(E37="N.A.","N.A.",IF(E37&gt;=75%,1,0))</f>
        <v>N.A.</v>
      </c>
      <c r="F38" s="122" t="str">
        <f t="shared" ref="F38:L38" si="1">+IF(F37="N.A.","N.A.",IF(F37&gt;=75%,1,0))</f>
        <v>N.A.</v>
      </c>
      <c r="G38" s="122" t="str">
        <f t="shared" si="1"/>
        <v>N.A.</v>
      </c>
      <c r="H38" s="122" t="str">
        <f t="shared" si="1"/>
        <v>N.A.</v>
      </c>
      <c r="I38" s="122" t="str">
        <f t="shared" si="1"/>
        <v>N.A.</v>
      </c>
      <c r="J38" s="122" t="str">
        <f t="shared" si="1"/>
        <v>N.A.</v>
      </c>
      <c r="K38" s="122" t="str">
        <f t="shared" si="1"/>
        <v>N.A.</v>
      </c>
      <c r="L38" s="122" t="str">
        <f t="shared" si="1"/>
        <v>N.A.</v>
      </c>
      <c r="M38" s="8"/>
    </row>
    <row r="39" spans="2:13" ht="15" thickBot="1">
      <c r="B39" s="175"/>
      <c r="C39" s="2" t="s">
        <v>261</v>
      </c>
      <c r="D39" s="32" t="s">
        <v>1032</v>
      </c>
      <c r="E39" s="25"/>
      <c r="F39" s="25"/>
      <c r="G39" s="25"/>
      <c r="H39" s="25"/>
      <c r="I39" s="25"/>
      <c r="J39" s="25"/>
      <c r="K39" s="25"/>
      <c r="L39" s="25"/>
      <c r="M39" s="9"/>
    </row>
    <row r="40" spans="2:13">
      <c r="B40" s="175"/>
      <c r="C40" s="71"/>
      <c r="D40" s="1450"/>
      <c r="E40" s="1451"/>
      <c r="F40" s="1451"/>
      <c r="G40" s="1451"/>
      <c r="H40" s="1451"/>
      <c r="I40" s="1451"/>
      <c r="J40" s="1451"/>
      <c r="K40" s="1451"/>
      <c r="L40" s="1643"/>
      <c r="M40" s="1624"/>
    </row>
    <row r="41" spans="2:13" ht="15" thickBot="1">
      <c r="B41" s="175"/>
      <c r="C41" s="71"/>
      <c r="D41" s="1441" t="s">
        <v>1033</v>
      </c>
      <c r="E41" s="1442"/>
      <c r="F41" s="1442"/>
      <c r="G41" s="1442"/>
      <c r="H41" s="1442"/>
      <c r="I41" s="1442"/>
      <c r="J41" s="1442"/>
      <c r="K41" s="1442"/>
      <c r="L41" s="1636"/>
      <c r="M41" s="1607"/>
    </row>
    <row r="42" spans="2:13" ht="15" thickBot="1">
      <c r="B42" s="175"/>
      <c r="C42" s="77" t="s">
        <v>18</v>
      </c>
      <c r="D42" s="34" t="s">
        <v>1034</v>
      </c>
      <c r="E42" s="512">
        <v>1</v>
      </c>
      <c r="F42" s="6"/>
      <c r="G42" s="6"/>
      <c r="H42" s="34" t="s">
        <v>150</v>
      </c>
      <c r="I42" s="5"/>
      <c r="J42" s="129" t="s">
        <v>1174</v>
      </c>
      <c r="K42" s="5"/>
      <c r="M42" s="10"/>
    </row>
    <row r="43" spans="2:13" ht="15" thickBot="1">
      <c r="B43" s="175"/>
      <c r="C43" s="2" t="s">
        <v>263</v>
      </c>
      <c r="D43" s="32" t="s">
        <v>1035</v>
      </c>
      <c r="E43" s="542">
        <v>1</v>
      </c>
      <c r="F43" s="25"/>
      <c r="G43" s="25"/>
      <c r="H43" s="123">
        <f>MAX(E42:G42)</f>
        <v>1</v>
      </c>
      <c r="I43" s="5"/>
      <c r="K43" s="5"/>
      <c r="M43" s="10"/>
    </row>
    <row r="44" spans="2:13" ht="15" thickBot="1">
      <c r="B44" s="175"/>
      <c r="C44" s="2" t="s">
        <v>265</v>
      </c>
      <c r="D44" s="32" t="s">
        <v>1039</v>
      </c>
      <c r="E44" s="512">
        <v>2</v>
      </c>
      <c r="F44" s="6"/>
      <c r="G44" s="6"/>
      <c r="H44" s="124">
        <f>SUM(E44:G44)</f>
        <v>2</v>
      </c>
      <c r="I44" s="5"/>
      <c r="J44" s="5"/>
      <c r="K44" s="5"/>
      <c r="M44" s="10"/>
    </row>
    <row r="45" spans="2:13" ht="24.6" thickBot="1">
      <c r="B45" s="175"/>
      <c r="C45" s="2" t="s">
        <v>267</v>
      </c>
      <c r="D45" s="32" t="s">
        <v>1040</v>
      </c>
      <c r="E45" s="512">
        <v>2</v>
      </c>
      <c r="F45" s="6"/>
      <c r="G45" s="6"/>
      <c r="H45" s="124">
        <f>SUM(E45:G45)</f>
        <v>2</v>
      </c>
      <c r="I45" s="5"/>
      <c r="J45" s="5"/>
      <c r="K45" s="5"/>
      <c r="M45" s="10"/>
    </row>
    <row r="46" spans="2:13" ht="15" thickBot="1">
      <c r="B46" s="175"/>
      <c r="C46" s="1562" t="s">
        <v>1041</v>
      </c>
      <c r="D46" s="36" t="s">
        <v>1042</v>
      </c>
      <c r="E46" s="121">
        <f>IFERROR(E45/E44,"N.A.")</f>
        <v>1</v>
      </c>
      <c r="F46" s="121" t="str">
        <f>IFERROR(F45/F44,"N.A.")</f>
        <v>N.A.</v>
      </c>
      <c r="G46" s="121" t="str">
        <f>IFERROR(G45/G44,"N.A.")</f>
        <v>N.A.</v>
      </c>
      <c r="H46" s="125"/>
      <c r="I46" s="5"/>
      <c r="J46" s="5"/>
      <c r="K46" s="5"/>
      <c r="M46" s="10"/>
    </row>
    <row r="47" spans="2:13" ht="15" thickBot="1">
      <c r="B47" s="175"/>
      <c r="C47" s="1563"/>
      <c r="D47" s="32" t="s">
        <v>1043</v>
      </c>
      <c r="E47" s="122">
        <f>+IF(E46="N.A.","N.A.",IF(E46&gt;=75%,1,0))</f>
        <v>1</v>
      </c>
      <c r="F47" s="122" t="str">
        <f>+IF(F46="N.A.","N.A.",IF(F46&gt;=75%,1,0))</f>
        <v>N.A.</v>
      </c>
      <c r="G47" s="122" t="str">
        <f>+IF(G46="N.A.","N.A.",IF(G46&gt;=75%,1,0))</f>
        <v>N.A.</v>
      </c>
      <c r="H47" s="124">
        <f>SUM(E47:G47)</f>
        <v>1</v>
      </c>
      <c r="I47" s="5"/>
      <c r="J47" s="5"/>
      <c r="K47" s="5"/>
      <c r="M47" s="10"/>
    </row>
    <row r="48" spans="2:13" ht="15" thickBot="1">
      <c r="B48" s="175"/>
      <c r="C48" s="2" t="s">
        <v>1044</v>
      </c>
      <c r="D48" s="1462" t="s">
        <v>1045</v>
      </c>
      <c r="E48" s="1463"/>
      <c r="F48" s="1463"/>
      <c r="G48" s="1464"/>
      <c r="H48" s="165">
        <f>IFERROR(H47/H43,"N.A.")</f>
        <v>1</v>
      </c>
      <c r="I48" s="5"/>
      <c r="J48" s="5"/>
      <c r="K48" s="5"/>
      <c r="M48" s="10"/>
    </row>
    <row r="49" spans="2:13" ht="15" thickBot="1">
      <c r="B49" s="175"/>
      <c r="C49" s="71"/>
      <c r="D49" s="1667" t="s">
        <v>1046</v>
      </c>
      <c r="E49" s="1668"/>
      <c r="F49" s="1668"/>
      <c r="G49" s="1668"/>
      <c r="H49" s="1668"/>
      <c r="I49" s="1668"/>
      <c r="J49" s="1668"/>
      <c r="K49" s="1668"/>
      <c r="L49" s="1747"/>
      <c r="M49" s="1698"/>
    </row>
    <row r="50" spans="2:13" ht="24.6" thickBot="1">
      <c r="B50" s="175"/>
      <c r="C50" s="73"/>
      <c r="D50" s="34" t="s">
        <v>1021</v>
      </c>
      <c r="E50" s="512">
        <v>0</v>
      </c>
      <c r="F50" s="5"/>
      <c r="G50" s="5"/>
      <c r="H50" s="5"/>
      <c r="I50" s="5"/>
      <c r="J50" s="5"/>
      <c r="K50" s="5"/>
      <c r="M50" s="10"/>
    </row>
    <row r="51" spans="2:13" ht="24.6" thickBot="1">
      <c r="B51" s="175"/>
      <c r="C51" s="73"/>
      <c r="D51" s="32" t="s">
        <v>1022</v>
      </c>
      <c r="E51" s="512">
        <v>0</v>
      </c>
      <c r="F51" s="5"/>
      <c r="G51" s="5"/>
      <c r="H51" s="5"/>
      <c r="I51" s="5"/>
      <c r="J51" s="5"/>
      <c r="K51" s="5"/>
      <c r="M51" s="10"/>
    </row>
    <row r="52" spans="2:13" ht="24.6" thickBot="1">
      <c r="B52" s="175"/>
      <c r="C52" s="73"/>
      <c r="D52" s="32" t="s">
        <v>1023</v>
      </c>
      <c r="E52" s="512">
        <v>0</v>
      </c>
      <c r="F52" s="5"/>
      <c r="G52" s="5"/>
      <c r="H52" s="5"/>
      <c r="I52" s="5"/>
      <c r="J52" s="5"/>
      <c r="K52" s="5"/>
      <c r="M52" s="10"/>
    </row>
    <row r="53" spans="2:13" ht="15" thickBot="1">
      <c r="B53" s="175"/>
      <c r="C53" s="71"/>
      <c r="D53" s="1472" t="s">
        <v>1024</v>
      </c>
      <c r="E53" s="1473"/>
      <c r="F53" s="1473"/>
      <c r="G53" s="1473"/>
      <c r="H53" s="1473"/>
      <c r="I53" s="1473"/>
      <c r="J53" s="1473"/>
      <c r="K53" s="1473"/>
      <c r="L53" s="1748"/>
      <c r="M53" s="1609"/>
    </row>
    <row r="54" spans="2:13" ht="15" thickBot="1">
      <c r="B54" s="175"/>
      <c r="C54" s="77" t="s">
        <v>18</v>
      </c>
      <c r="D54" s="34" t="s">
        <v>1025</v>
      </c>
      <c r="E54" s="206"/>
      <c r="F54" s="206"/>
      <c r="G54" s="206"/>
      <c r="H54" s="206"/>
      <c r="I54" s="206"/>
      <c r="J54" s="206"/>
      <c r="K54" s="206"/>
      <c r="L54" s="273"/>
      <c r="M54" s="95"/>
    </row>
    <row r="55" spans="2:13" ht="15" thickBot="1">
      <c r="B55" s="175"/>
      <c r="C55" s="2" t="s">
        <v>151</v>
      </c>
      <c r="D55" s="32" t="s">
        <v>1026</v>
      </c>
      <c r="E55" s="25"/>
      <c r="F55" s="25"/>
      <c r="G55" s="25"/>
      <c r="H55" s="25"/>
      <c r="I55" s="25"/>
      <c r="J55" s="25"/>
      <c r="K55" s="25"/>
      <c r="L55" s="274"/>
      <c r="M55" s="8"/>
    </row>
    <row r="56" spans="2:13" ht="15" thickBot="1">
      <c r="B56" s="175"/>
      <c r="C56" s="2" t="s">
        <v>153</v>
      </c>
      <c r="D56" s="32" t="s">
        <v>1027</v>
      </c>
      <c r="E56" s="25"/>
      <c r="F56" s="25"/>
      <c r="G56" s="25"/>
      <c r="H56" s="25"/>
      <c r="I56" s="25"/>
      <c r="J56" s="25"/>
      <c r="K56" s="25"/>
      <c r="L56" s="274"/>
      <c r="M56" s="8"/>
    </row>
    <row r="57" spans="2:13" ht="15" thickBot="1">
      <c r="B57" s="175"/>
      <c r="C57" s="2" t="s">
        <v>155</v>
      </c>
      <c r="D57" s="32" t="s">
        <v>1028</v>
      </c>
      <c r="E57" s="275"/>
      <c r="F57" s="275"/>
      <c r="G57" s="275"/>
      <c r="H57" s="275"/>
      <c r="I57" s="275"/>
      <c r="J57" s="275"/>
      <c r="K57" s="275"/>
      <c r="L57" s="275"/>
      <c r="M57" s="8"/>
    </row>
    <row r="58" spans="2:13" ht="15" thickBot="1">
      <c r="B58" s="175"/>
      <c r="C58" s="2" t="s">
        <v>257</v>
      </c>
      <c r="D58" s="32" t="s">
        <v>1029</v>
      </c>
      <c r="E58" s="275"/>
      <c r="F58" s="275"/>
      <c r="G58" s="275"/>
      <c r="H58" s="275"/>
      <c r="I58" s="275"/>
      <c r="J58" s="275"/>
      <c r="K58" s="275"/>
      <c r="L58" s="275"/>
      <c r="M58" s="8"/>
    </row>
    <row r="59" spans="2:13" ht="24.6" thickBot="1">
      <c r="B59" s="175"/>
      <c r="C59" s="1562" t="s">
        <v>259</v>
      </c>
      <c r="D59" s="36" t="s">
        <v>1030</v>
      </c>
      <c r="E59" s="121" t="str">
        <f t="shared" ref="E59:L59" si="2">IFERROR(E58/E57,"N.A.")</f>
        <v>N.A.</v>
      </c>
      <c r="F59" s="121" t="str">
        <f t="shared" si="2"/>
        <v>N.A.</v>
      </c>
      <c r="G59" s="121" t="str">
        <f t="shared" si="2"/>
        <v>N.A.</v>
      </c>
      <c r="H59" s="121" t="str">
        <f t="shared" si="2"/>
        <v>N.A.</v>
      </c>
      <c r="I59" s="121" t="str">
        <f t="shared" si="2"/>
        <v>N.A.</v>
      </c>
      <c r="J59" s="121" t="str">
        <f t="shared" si="2"/>
        <v>N.A.</v>
      </c>
      <c r="K59" s="121" t="str">
        <f t="shared" si="2"/>
        <v>N.A.</v>
      </c>
      <c r="L59" s="121" t="str">
        <f t="shared" si="2"/>
        <v>N.A.</v>
      </c>
      <c r="M59" s="8"/>
    </row>
    <row r="60" spans="2:13" ht="15" thickBot="1">
      <c r="B60" s="175"/>
      <c r="C60" s="1563"/>
      <c r="D60" s="32" t="s">
        <v>1047</v>
      </c>
      <c r="E60" s="122" t="str">
        <f>+IF(E59="N.A.","N.A.",IF(E59&gt;=75%,1,0))</f>
        <v>N.A.</v>
      </c>
      <c r="F60" s="122" t="str">
        <f t="shared" ref="F60:L60" si="3">+IF(F59="N.A.","N.A.",IF(F59&gt;=75%,1,0))</f>
        <v>N.A.</v>
      </c>
      <c r="G60" s="122" t="str">
        <f t="shared" si="3"/>
        <v>N.A.</v>
      </c>
      <c r="H60" s="122" t="str">
        <f t="shared" si="3"/>
        <v>N.A.</v>
      </c>
      <c r="I60" s="122" t="str">
        <f t="shared" si="3"/>
        <v>N.A.</v>
      </c>
      <c r="J60" s="122" t="str">
        <f t="shared" si="3"/>
        <v>N.A.</v>
      </c>
      <c r="K60" s="122" t="str">
        <f t="shared" si="3"/>
        <v>N.A.</v>
      </c>
      <c r="L60" s="122" t="str">
        <f t="shared" si="3"/>
        <v>N.A.</v>
      </c>
      <c r="M60" s="8"/>
    </row>
    <row r="61" spans="2:13" ht="15" thickBot="1">
      <c r="B61" s="175"/>
      <c r="C61" s="2" t="s">
        <v>261</v>
      </c>
      <c r="D61" s="32" t="s">
        <v>1032</v>
      </c>
      <c r="E61" s="1571" t="s">
        <v>2812</v>
      </c>
      <c r="F61" s="1751"/>
      <c r="G61" s="1751"/>
      <c r="H61" s="1751"/>
      <c r="I61" s="1751"/>
      <c r="J61" s="1751"/>
      <c r="K61" s="1751"/>
      <c r="L61" s="1572"/>
      <c r="M61" s="9"/>
    </row>
    <row r="62" spans="2:13">
      <c r="B62" s="175"/>
      <c r="C62" s="71"/>
      <c r="D62" s="1450"/>
      <c r="E62" s="1451"/>
      <c r="F62" s="1451"/>
      <c r="G62" s="1451"/>
      <c r="H62" s="1451"/>
      <c r="I62" s="1451"/>
      <c r="J62" s="1451"/>
      <c r="K62" s="1451"/>
      <c r="L62" s="1643"/>
      <c r="M62" s="1624"/>
    </row>
    <row r="63" spans="2:13" ht="15" thickBot="1">
      <c r="B63" s="175"/>
      <c r="C63" s="71"/>
      <c r="D63" s="1441" t="s">
        <v>1033</v>
      </c>
      <c r="E63" s="1442"/>
      <c r="F63" s="1442"/>
      <c r="G63" s="1442"/>
      <c r="H63" s="1442"/>
      <c r="I63" s="1442"/>
      <c r="J63" s="1442"/>
      <c r="K63" s="1442"/>
      <c r="L63" s="1636"/>
      <c r="M63" s="1607"/>
    </row>
    <row r="64" spans="2:13" ht="15" thickBot="1">
      <c r="B64" s="175"/>
      <c r="C64" s="77" t="s">
        <v>18</v>
      </c>
      <c r="D64" s="34" t="s">
        <v>1034</v>
      </c>
      <c r="E64" s="442">
        <v>1</v>
      </c>
      <c r="F64" s="442">
        <v>2</v>
      </c>
      <c r="G64" s="442">
        <v>3</v>
      </c>
      <c r="H64" s="442" t="s">
        <v>150</v>
      </c>
      <c r="I64" s="5"/>
      <c r="J64" s="5"/>
      <c r="K64" s="5"/>
      <c r="M64" s="10"/>
    </row>
    <row r="65" spans="2:13" ht="15" thickBot="1">
      <c r="B65" s="175"/>
      <c r="C65" s="2" t="s">
        <v>263</v>
      </c>
      <c r="D65" s="32" t="s">
        <v>1035</v>
      </c>
      <c r="E65" s="557" t="s">
        <v>1036</v>
      </c>
      <c r="F65" s="557" t="s">
        <v>1037</v>
      </c>
      <c r="G65" s="557" t="s">
        <v>1038</v>
      </c>
      <c r="H65" s="556">
        <v>1</v>
      </c>
      <c r="I65" s="5"/>
      <c r="J65" s="5"/>
      <c r="K65" s="5"/>
      <c r="M65" s="10"/>
    </row>
    <row r="66" spans="2:13" ht="15" thickBot="1">
      <c r="B66" s="175"/>
      <c r="C66" s="2" t="s">
        <v>265</v>
      </c>
      <c r="D66" s="32" t="s">
        <v>1039</v>
      </c>
      <c r="E66" s="512">
        <v>2</v>
      </c>
      <c r="F66" s="6"/>
      <c r="G66" s="6"/>
      <c r="H66" s="124">
        <f>SUM(E66:G66)</f>
        <v>2</v>
      </c>
      <c r="I66" s="5"/>
      <c r="J66" s="5"/>
      <c r="K66" s="5"/>
      <c r="M66" s="10"/>
    </row>
    <row r="67" spans="2:13" ht="24.6" thickBot="1">
      <c r="B67" s="175"/>
      <c r="C67" s="2" t="s">
        <v>267</v>
      </c>
      <c r="D67" s="32" t="s">
        <v>1048</v>
      </c>
      <c r="E67" s="512">
        <v>2</v>
      </c>
      <c r="F67" s="6"/>
      <c r="G67" s="6"/>
      <c r="H67" s="124">
        <f>SUM(E67:G67)</f>
        <v>2</v>
      </c>
      <c r="I67" s="5"/>
      <c r="J67" s="5"/>
      <c r="K67" s="5"/>
      <c r="M67" s="10"/>
    </row>
    <row r="68" spans="2:13" ht="15" thickBot="1">
      <c r="B68" s="175"/>
      <c r="C68" s="1562" t="s">
        <v>1041</v>
      </c>
      <c r="D68" s="36" t="s">
        <v>1042</v>
      </c>
      <c r="E68" s="121">
        <f>+E67/E66</f>
        <v>1</v>
      </c>
      <c r="F68" s="121" t="e">
        <f>+F67/F66</f>
        <v>#DIV/0!</v>
      </c>
      <c r="G68" s="121" t="e">
        <f>+G67/G66</f>
        <v>#DIV/0!</v>
      </c>
      <c r="H68" s="125">
        <v>1</v>
      </c>
      <c r="I68" s="5"/>
      <c r="J68" s="5"/>
      <c r="K68" s="5"/>
      <c r="M68" s="10"/>
    </row>
    <row r="69" spans="2:13" ht="15" thickBot="1">
      <c r="B69" s="175"/>
      <c r="C69" s="1563"/>
      <c r="D69" s="32" t="s">
        <v>1043</v>
      </c>
      <c r="E69" s="122">
        <f>+IF(E68&gt;=75%,1,0)</f>
        <v>1</v>
      </c>
      <c r="F69" s="122" t="e">
        <f>+IF(F68&gt;=75%,1,0)</f>
        <v>#DIV/0!</v>
      </c>
      <c r="G69" s="122" t="e">
        <f>+IF(G68&gt;=75%,1,0)</f>
        <v>#DIV/0!</v>
      </c>
      <c r="H69" s="124">
        <v>1</v>
      </c>
      <c r="I69" s="5"/>
      <c r="J69" s="5"/>
      <c r="K69" s="5"/>
      <c r="M69" s="10"/>
    </row>
    <row r="70" spans="2:13" ht="15" thickBot="1">
      <c r="B70" s="175"/>
      <c r="C70" s="2" t="s">
        <v>1044</v>
      </c>
      <c r="D70" s="1462" t="s">
        <v>1045</v>
      </c>
      <c r="E70" s="1463"/>
      <c r="F70" s="1463"/>
      <c r="G70" s="1464"/>
      <c r="H70" s="126">
        <f>IFERROR(H69/H65,"N.A.")</f>
        <v>1</v>
      </c>
      <c r="I70" s="5"/>
      <c r="J70" s="5"/>
      <c r="K70" s="5"/>
      <c r="M70" s="10"/>
    </row>
    <row r="71" spans="2:13">
      <c r="B71" s="175"/>
      <c r="C71" s="71"/>
      <c r="D71" s="1441"/>
      <c r="E71" s="1442"/>
      <c r="F71" s="1442"/>
      <c r="G71" s="1442"/>
      <c r="H71" s="1442"/>
      <c r="I71" s="1442"/>
      <c r="J71" s="1442"/>
      <c r="K71" s="1442"/>
      <c r="L71" s="1636"/>
      <c r="M71" s="1607"/>
    </row>
    <row r="72" spans="2:13" ht="15" thickBot="1">
      <c r="B72" s="175"/>
      <c r="C72" s="71"/>
      <c r="D72" s="1453" t="s">
        <v>1049</v>
      </c>
      <c r="E72" s="1454"/>
      <c r="F72" s="1454"/>
      <c r="G72" s="1454"/>
      <c r="H72" s="1454"/>
      <c r="I72" s="1454"/>
      <c r="J72" s="1454"/>
      <c r="K72" s="1454"/>
      <c r="L72" s="1635"/>
      <c r="M72" s="1608"/>
    </row>
    <row r="73" spans="2:13" ht="15" thickBot="1">
      <c r="B73" s="175"/>
      <c r="C73" s="77" t="s">
        <v>1050</v>
      </c>
      <c r="D73" s="30" t="s">
        <v>1051</v>
      </c>
      <c r="E73" s="127">
        <f>+H48</f>
        <v>1</v>
      </c>
      <c r="F73" s="5"/>
      <c r="G73" s="5"/>
      <c r="H73" s="5"/>
      <c r="I73" s="5"/>
      <c r="J73" s="5"/>
      <c r="K73" s="5"/>
      <c r="M73" s="10"/>
    </row>
    <row r="74" spans="2:13" ht="15" thickBot="1">
      <c r="B74" s="175"/>
      <c r="C74" s="2" t="s">
        <v>1052</v>
      </c>
      <c r="D74" s="31" t="s">
        <v>1053</v>
      </c>
      <c r="E74" s="128">
        <f>+H70</f>
        <v>1</v>
      </c>
      <c r="F74" s="5"/>
      <c r="G74" s="5"/>
      <c r="H74" s="5"/>
      <c r="I74" s="5"/>
      <c r="J74" s="5"/>
      <c r="K74" s="5"/>
      <c r="M74" s="10"/>
    </row>
    <row r="75" spans="2:13" ht="36.6" thickBot="1">
      <c r="B75" s="175"/>
      <c r="C75" s="2" t="s">
        <v>18</v>
      </c>
      <c r="D75" s="32" t="s">
        <v>1054</v>
      </c>
      <c r="E75" s="128">
        <f>AVERAGE(E73:E74)</f>
        <v>1</v>
      </c>
      <c r="F75" s="5"/>
      <c r="G75" s="5"/>
      <c r="H75" s="5"/>
      <c r="I75" s="5"/>
      <c r="J75" s="5"/>
      <c r="K75" s="5"/>
      <c r="M75" s="10"/>
    </row>
    <row r="76" spans="2:13">
      <c r="B76" s="175"/>
      <c r="C76" s="71"/>
      <c r="D76" s="1441"/>
      <c r="E76" s="1442"/>
      <c r="F76" s="1442"/>
      <c r="G76" s="1442"/>
      <c r="H76" s="1442"/>
      <c r="I76" s="1442"/>
      <c r="J76" s="1442"/>
      <c r="K76" s="1442"/>
      <c r="L76" s="1636"/>
      <c r="M76" s="1607"/>
    </row>
    <row r="77" spans="2:13" ht="15" thickBot="1">
      <c r="B77" s="175"/>
      <c r="C77" s="71"/>
      <c r="D77" s="1453" t="s">
        <v>1055</v>
      </c>
      <c r="E77" s="1454"/>
      <c r="F77" s="1454"/>
      <c r="G77" s="1454"/>
      <c r="H77" s="1454"/>
      <c r="I77" s="1454"/>
      <c r="J77" s="1454"/>
      <c r="K77" s="1454"/>
      <c r="L77" s="1635"/>
      <c r="M77" s="1608"/>
    </row>
    <row r="78" spans="2:13" ht="15" thickBot="1">
      <c r="B78" s="175"/>
      <c r="C78" s="73"/>
      <c r="D78" s="20"/>
      <c r="E78" s="30" t="s">
        <v>1056</v>
      </c>
      <c r="F78" s="30" t="s">
        <v>1057</v>
      </c>
      <c r="H78" s="5"/>
      <c r="I78" s="5"/>
      <c r="J78" s="5"/>
      <c r="K78" s="5"/>
      <c r="M78" s="10"/>
    </row>
    <row r="79" spans="2:13" ht="24.6" thickBot="1">
      <c r="B79" s="175"/>
      <c r="C79" s="73"/>
      <c r="D79" s="32" t="s">
        <v>1058</v>
      </c>
      <c r="E79" s="558" t="e">
        <f>+E25</f>
        <v>#DIV/0!</v>
      </c>
      <c r="F79" s="463">
        <v>0</v>
      </c>
      <c r="G79" s="5"/>
      <c r="H79" s="5"/>
      <c r="I79" s="5"/>
      <c r="J79" s="5"/>
      <c r="K79" s="5"/>
      <c r="M79" s="10"/>
    </row>
    <row r="80" spans="2:13" ht="24.6" thickBot="1">
      <c r="B80" s="175"/>
      <c r="C80" s="73"/>
      <c r="D80" s="32" t="s">
        <v>1059</v>
      </c>
      <c r="E80" s="558">
        <f>+E75</f>
        <v>1</v>
      </c>
      <c r="F80" s="463">
        <v>1</v>
      </c>
      <c r="G80" s="5"/>
      <c r="H80" s="5"/>
      <c r="I80" s="5"/>
      <c r="J80" s="5"/>
      <c r="K80" s="5"/>
      <c r="M80" s="10"/>
    </row>
    <row r="81" spans="2:13" ht="24.6" thickBot="1">
      <c r="B81" s="37"/>
      <c r="C81" s="2"/>
      <c r="D81" s="32" t="s">
        <v>989</v>
      </c>
      <c r="E81" s="161" t="str">
        <f>[8]Formulas!$D$29</f>
        <v/>
      </c>
      <c r="F81" s="154">
        <v>1</v>
      </c>
      <c r="G81" s="18"/>
      <c r="H81" s="18"/>
      <c r="I81" s="18"/>
      <c r="J81" s="18"/>
      <c r="K81" s="18"/>
      <c r="L81" s="11"/>
      <c r="M81" s="7"/>
    </row>
    <row r="82" spans="2:13" ht="24" customHeight="1" thickBot="1">
      <c r="B82" s="37" t="s">
        <v>33</v>
      </c>
      <c r="C82" s="72"/>
      <c r="D82" s="1462" t="s">
        <v>1060</v>
      </c>
      <c r="E82" s="1463"/>
      <c r="F82" s="1463"/>
      <c r="G82" s="1463"/>
      <c r="H82" s="1463"/>
      <c r="I82" s="1463"/>
      <c r="J82" s="1463"/>
      <c r="K82" s="1463"/>
      <c r="L82" s="1634"/>
      <c r="M82" s="1606"/>
    </row>
    <row r="83" spans="2:13" ht="36.6" thickBot="1">
      <c r="B83" s="37" t="s">
        <v>35</v>
      </c>
      <c r="C83" s="72"/>
      <c r="D83" s="1462" t="s">
        <v>158</v>
      </c>
      <c r="E83" s="1463"/>
      <c r="F83" s="1463"/>
      <c r="G83" s="1463"/>
      <c r="H83" s="1463"/>
      <c r="I83" s="1463"/>
      <c r="J83" s="1463"/>
      <c r="K83" s="1463"/>
      <c r="L83" s="1634"/>
      <c r="M83" s="1606"/>
    </row>
    <row r="84" spans="2:13" ht="15" thickBot="1">
      <c r="B84" s="1"/>
      <c r="C84" s="64"/>
      <c r="D84" s="5"/>
      <c r="E84" s="5"/>
      <c r="F84" s="5"/>
      <c r="G84" s="5"/>
      <c r="H84" s="5"/>
      <c r="I84" s="5"/>
      <c r="J84" s="5"/>
      <c r="K84" s="5"/>
    </row>
    <row r="85" spans="2:13" ht="24" customHeight="1" thickBot="1">
      <c r="B85" s="1469" t="s">
        <v>37</v>
      </c>
      <c r="C85" s="1470"/>
      <c r="D85" s="1470"/>
      <c r="E85" s="1471"/>
      <c r="F85" s="5"/>
      <c r="G85" s="5"/>
      <c r="H85" s="5"/>
      <c r="I85" s="5"/>
      <c r="J85" s="5"/>
      <c r="K85" s="5"/>
    </row>
    <row r="86" spans="2:13" ht="15" thickBot="1">
      <c r="B86" s="1459">
        <v>1</v>
      </c>
      <c r="C86" s="73"/>
      <c r="D86" s="38" t="s">
        <v>38</v>
      </c>
      <c r="E86" s="190" t="s">
        <v>1814</v>
      </c>
      <c r="F86" s="5"/>
      <c r="G86" s="5"/>
      <c r="H86" s="5"/>
      <c r="I86" s="5"/>
      <c r="J86" s="5"/>
      <c r="K86" s="5"/>
    </row>
    <row r="87" spans="2:13" ht="24.6" thickBot="1">
      <c r="B87" s="1460"/>
      <c r="C87" s="73"/>
      <c r="D87" s="32" t="s">
        <v>39</v>
      </c>
      <c r="E87" s="569" t="s">
        <v>1888</v>
      </c>
      <c r="F87" s="5"/>
      <c r="G87" s="5"/>
      <c r="H87" s="5"/>
      <c r="I87" s="5"/>
      <c r="J87" s="5"/>
      <c r="K87" s="5"/>
    </row>
    <row r="88" spans="2:13" ht="15" thickBot="1">
      <c r="B88" s="1460"/>
      <c r="C88" s="73"/>
      <c r="D88" s="32" t="s">
        <v>40</v>
      </c>
      <c r="E88" s="569" t="s">
        <v>2037</v>
      </c>
      <c r="F88" s="5"/>
      <c r="G88" s="5"/>
      <c r="H88" s="5"/>
      <c r="I88" s="5"/>
      <c r="J88" s="5"/>
      <c r="K88" s="5"/>
    </row>
    <row r="89" spans="2:13" ht="15" thickBot="1">
      <c r="B89" s="1460"/>
      <c r="C89" s="73"/>
      <c r="D89" s="32" t="s">
        <v>41</v>
      </c>
      <c r="E89" s="190" t="s">
        <v>2050</v>
      </c>
      <c r="F89" s="5"/>
      <c r="G89" s="5"/>
      <c r="H89" s="5"/>
      <c r="I89" s="5"/>
      <c r="J89" s="5"/>
      <c r="K89" s="5"/>
    </row>
    <row r="90" spans="2:13" ht="58.2" thickBot="1">
      <c r="B90" s="1460"/>
      <c r="C90" s="73"/>
      <c r="D90" s="32" t="s">
        <v>42</v>
      </c>
      <c r="E90" s="902" t="s">
        <v>2038</v>
      </c>
      <c r="F90" s="5"/>
      <c r="G90" s="5"/>
      <c r="H90" s="5"/>
      <c r="I90" s="5"/>
      <c r="J90" s="5"/>
      <c r="K90" s="5"/>
    </row>
    <row r="91" spans="2:13" ht="15" thickBot="1">
      <c r="B91" s="1460"/>
      <c r="C91" s="73"/>
      <c r="D91" s="32" t="s">
        <v>43</v>
      </c>
      <c r="E91" s="569" t="s">
        <v>2040</v>
      </c>
      <c r="F91" s="5"/>
      <c r="G91" s="5"/>
      <c r="H91" s="5"/>
      <c r="I91" s="5"/>
      <c r="J91" s="5"/>
      <c r="K91" s="5"/>
    </row>
    <row r="92" spans="2:13" ht="15" thickBot="1">
      <c r="B92" s="1461"/>
      <c r="C92" s="2"/>
      <c r="D92" s="32" t="s">
        <v>44</v>
      </c>
      <c r="E92" s="569" t="s">
        <v>1817</v>
      </c>
      <c r="F92" s="5"/>
      <c r="G92" s="5"/>
      <c r="H92" s="5"/>
      <c r="I92" s="5"/>
      <c r="J92" s="5"/>
      <c r="K92" s="5"/>
    </row>
    <row r="93" spans="2:13" ht="15" thickBot="1">
      <c r="B93" s="1"/>
      <c r="C93" s="64"/>
      <c r="D93" s="5"/>
      <c r="E93" s="5"/>
      <c r="F93" s="5"/>
      <c r="G93" s="5"/>
      <c r="H93" s="5"/>
      <c r="I93" s="5"/>
      <c r="J93" s="5"/>
      <c r="K93" s="5"/>
    </row>
    <row r="94" spans="2:13" ht="15" thickBot="1">
      <c r="B94" s="1469" t="s">
        <v>45</v>
      </c>
      <c r="C94" s="1470"/>
      <c r="D94" s="1470"/>
      <c r="E94" s="1471"/>
      <c r="F94" s="5"/>
      <c r="G94" s="5"/>
      <c r="H94" s="5"/>
      <c r="I94" s="5"/>
      <c r="J94" s="5"/>
      <c r="K94" s="5"/>
    </row>
    <row r="95" spans="2:13" ht="15" thickBot="1">
      <c r="B95" s="1459">
        <v>1</v>
      </c>
      <c r="C95" s="73"/>
      <c r="D95" s="38" t="s">
        <v>38</v>
      </c>
      <c r="E95" s="177" t="s">
        <v>46</v>
      </c>
      <c r="F95" s="5"/>
      <c r="G95" s="5"/>
      <c r="H95" s="5"/>
      <c r="I95" s="5"/>
      <c r="J95" s="5"/>
      <c r="K95" s="5"/>
    </row>
    <row r="96" spans="2:13" ht="15" thickBot="1">
      <c r="B96" s="1460"/>
      <c r="C96" s="73"/>
      <c r="D96" s="32" t="s">
        <v>39</v>
      </c>
      <c r="E96" s="177" t="s">
        <v>159</v>
      </c>
      <c r="F96" s="5"/>
      <c r="G96" s="5"/>
      <c r="H96" s="5"/>
      <c r="I96" s="5"/>
      <c r="J96" s="5"/>
      <c r="K96" s="5"/>
    </row>
    <row r="97" spans="2:11" ht="15" thickBot="1">
      <c r="B97" s="1460"/>
      <c r="C97" s="73"/>
      <c r="D97" s="32" t="s">
        <v>40</v>
      </c>
      <c r="E97" s="138"/>
      <c r="F97" s="5"/>
      <c r="G97" s="5"/>
      <c r="H97" s="5"/>
      <c r="I97" s="5"/>
      <c r="J97" s="5"/>
      <c r="K97" s="5"/>
    </row>
    <row r="98" spans="2:11" ht="15" thickBot="1">
      <c r="B98" s="1460"/>
      <c r="C98" s="73"/>
      <c r="D98" s="32" t="s">
        <v>41</v>
      </c>
      <c r="E98" s="138"/>
      <c r="F98" s="5"/>
      <c r="G98" s="5"/>
      <c r="H98" s="5"/>
      <c r="I98" s="5"/>
      <c r="J98" s="5"/>
      <c r="K98" s="5"/>
    </row>
    <row r="99" spans="2:11" ht="15" thickBot="1">
      <c r="B99" s="1460"/>
      <c r="C99" s="73"/>
      <c r="D99" s="32" t="s">
        <v>42</v>
      </c>
      <c r="E99" s="138"/>
      <c r="F99" s="5"/>
      <c r="G99" s="5"/>
      <c r="H99" s="5"/>
      <c r="I99" s="5"/>
      <c r="J99" s="5"/>
      <c r="K99" s="5"/>
    </row>
    <row r="100" spans="2:11" ht="15" thickBot="1">
      <c r="B100" s="1460"/>
      <c r="C100" s="73"/>
      <c r="D100" s="32" t="s">
        <v>43</v>
      </c>
      <c r="E100" s="138"/>
      <c r="F100" s="5"/>
      <c r="G100" s="5"/>
      <c r="H100" s="5"/>
      <c r="I100" s="5"/>
      <c r="J100" s="5"/>
      <c r="K100" s="5"/>
    </row>
    <row r="101" spans="2:11" ht="15" thickBot="1">
      <c r="B101" s="1461"/>
      <c r="C101" s="2"/>
      <c r="D101" s="32" t="s">
        <v>44</v>
      </c>
      <c r="E101" s="138"/>
      <c r="F101" s="5"/>
      <c r="G101" s="5"/>
      <c r="H101" s="5"/>
      <c r="I101" s="5"/>
      <c r="J101" s="5"/>
      <c r="K101" s="5"/>
    </row>
    <row r="102" spans="2:11" ht="15" thickBot="1">
      <c r="B102" s="1"/>
      <c r="C102" s="64"/>
      <c r="D102" s="5"/>
      <c r="E102" s="5"/>
      <c r="F102" s="5"/>
      <c r="G102" s="5"/>
      <c r="H102" s="5"/>
      <c r="I102" s="5"/>
      <c r="J102" s="5"/>
      <c r="K102" s="5"/>
    </row>
    <row r="103" spans="2:11" ht="15" customHeight="1" thickBot="1">
      <c r="B103" s="100" t="s">
        <v>48</v>
      </c>
      <c r="C103" s="101"/>
      <c r="D103" s="101"/>
      <c r="E103" s="102"/>
      <c r="G103" s="5"/>
      <c r="H103" s="5"/>
      <c r="I103" s="5"/>
      <c r="J103" s="5"/>
      <c r="K103" s="5"/>
    </row>
    <row r="104" spans="2:11" ht="24.6" thickBot="1">
      <c r="B104" s="37" t="s">
        <v>49</v>
      </c>
      <c r="C104" s="32" t="s">
        <v>50</v>
      </c>
      <c r="D104" s="32" t="s">
        <v>51</v>
      </c>
      <c r="E104" s="32" t="s">
        <v>52</v>
      </c>
      <c r="F104" s="5"/>
      <c r="G104" s="5"/>
      <c r="H104" s="5"/>
      <c r="I104" s="5"/>
      <c r="J104" s="5"/>
    </row>
    <row r="105" spans="2:11" ht="60.6" thickBot="1">
      <c r="B105" s="39">
        <v>42401</v>
      </c>
      <c r="C105" s="32">
        <v>1</v>
      </c>
      <c r="D105" s="40" t="s">
        <v>1061</v>
      </c>
      <c r="E105" s="32"/>
      <c r="F105" s="5"/>
      <c r="G105" s="5"/>
      <c r="H105" s="5"/>
      <c r="I105" s="5"/>
      <c r="J105" s="5"/>
    </row>
    <row r="106" spans="2:11" ht="15" thickBot="1">
      <c r="B106" s="3"/>
      <c r="C106" s="74"/>
      <c r="D106" s="5"/>
      <c r="E106" s="5"/>
      <c r="F106" s="5"/>
      <c r="G106" s="5"/>
      <c r="H106" s="5"/>
      <c r="I106" s="5"/>
      <c r="J106" s="5"/>
      <c r="K106" s="5"/>
    </row>
    <row r="107" spans="2:11" ht="24.6" thickBot="1">
      <c r="B107" s="106" t="s">
        <v>54</v>
      </c>
      <c r="C107" s="75"/>
      <c r="D107" s="5"/>
      <c r="E107" s="5"/>
      <c r="F107" s="5"/>
      <c r="G107" s="5"/>
      <c r="H107" s="5"/>
      <c r="I107" s="5"/>
      <c r="J107" s="5"/>
      <c r="K107" s="5"/>
    </row>
    <row r="108" spans="2:11">
      <c r="B108" s="1717"/>
      <c r="C108" s="1718"/>
      <c r="D108" s="1718"/>
      <c r="E108" s="1718"/>
      <c r="F108" s="1718"/>
      <c r="G108" s="1718"/>
      <c r="H108" s="1718"/>
      <c r="I108" s="1719"/>
      <c r="J108" s="5"/>
      <c r="K108" s="5"/>
    </row>
    <row r="109" spans="2:11" ht="15" thickBot="1">
      <c r="B109" s="1720"/>
      <c r="C109" s="1721"/>
      <c r="D109" s="1721"/>
      <c r="E109" s="1721"/>
      <c r="F109" s="1721"/>
      <c r="G109" s="1721"/>
      <c r="H109" s="1721"/>
      <c r="I109" s="1722"/>
      <c r="J109" s="5"/>
      <c r="K109" s="5"/>
    </row>
    <row r="110" spans="2:11" ht="15" thickBot="1">
      <c r="B110" s="5"/>
      <c r="D110" s="5"/>
      <c r="E110" s="5"/>
      <c r="F110" s="5"/>
      <c r="G110" s="5"/>
      <c r="H110" s="5"/>
      <c r="I110" s="5"/>
      <c r="J110" s="5"/>
      <c r="K110" s="5"/>
    </row>
    <row r="111" spans="2:11" ht="24.6" thickBot="1">
      <c r="B111" s="41" t="s">
        <v>55</v>
      </c>
      <c r="C111" s="76"/>
      <c r="D111" s="5"/>
      <c r="E111" s="5"/>
      <c r="F111" s="5"/>
      <c r="G111" s="5"/>
      <c r="H111" s="5"/>
      <c r="I111" s="5"/>
      <c r="J111" s="5"/>
      <c r="K111" s="5"/>
    </row>
    <row r="112" spans="2:11" ht="15" thickBot="1">
      <c r="B112" s="1"/>
      <c r="C112" s="64"/>
      <c r="D112" s="5"/>
      <c r="E112" s="5"/>
      <c r="F112" s="5"/>
      <c r="G112" s="5"/>
      <c r="H112" s="5"/>
      <c r="I112" s="5"/>
      <c r="J112" s="5"/>
      <c r="K112" s="5"/>
    </row>
    <row r="113" spans="2:11" ht="60.6" thickBot="1">
      <c r="B113" s="42" t="s">
        <v>56</v>
      </c>
      <c r="C113" s="77"/>
      <c r="D113" s="34" t="s">
        <v>990</v>
      </c>
      <c r="E113" s="5"/>
      <c r="F113" s="5"/>
      <c r="G113" s="5"/>
      <c r="H113" s="5"/>
      <c r="I113" s="5"/>
      <c r="J113" s="5"/>
      <c r="K113" s="5"/>
    </row>
    <row r="114" spans="2:11">
      <c r="B114" s="1459" t="s">
        <v>58</v>
      </c>
      <c r="C114" s="73"/>
      <c r="D114" s="43" t="s">
        <v>59</v>
      </c>
      <c r="E114" s="5"/>
      <c r="F114" s="5"/>
      <c r="G114" s="5"/>
      <c r="H114" s="5"/>
      <c r="I114" s="5"/>
      <c r="J114" s="5"/>
      <c r="K114" s="5"/>
    </row>
    <row r="115" spans="2:11" ht="96">
      <c r="B115" s="1460"/>
      <c r="C115" s="73"/>
      <c r="D115" s="36" t="s">
        <v>991</v>
      </c>
      <c r="E115" s="5"/>
      <c r="F115" s="5"/>
      <c r="G115" s="5"/>
      <c r="H115" s="5"/>
      <c r="I115" s="5"/>
      <c r="J115" s="5"/>
      <c r="K115" s="5"/>
    </row>
    <row r="116" spans="2:11">
      <c r="B116" s="1460"/>
      <c r="C116" s="73"/>
      <c r="D116" s="43" t="s">
        <v>133</v>
      </c>
      <c r="E116" s="5"/>
      <c r="F116" s="5"/>
      <c r="G116" s="5"/>
      <c r="H116" s="5"/>
      <c r="I116" s="5"/>
      <c r="J116" s="5"/>
      <c r="K116" s="5"/>
    </row>
    <row r="117" spans="2:11">
      <c r="B117" s="1460"/>
      <c r="C117" s="73"/>
      <c r="D117" s="36" t="s">
        <v>992</v>
      </c>
      <c r="E117" s="5"/>
      <c r="F117" s="5"/>
      <c r="G117" s="5"/>
      <c r="H117" s="5"/>
      <c r="I117" s="5"/>
      <c r="J117" s="5"/>
      <c r="K117" s="5"/>
    </row>
    <row r="118" spans="2:11" ht="48">
      <c r="B118" s="1460"/>
      <c r="C118" s="73"/>
      <c r="D118" s="36" t="s">
        <v>993</v>
      </c>
      <c r="E118" s="5"/>
      <c r="F118" s="5"/>
      <c r="G118" s="5"/>
      <c r="H118" s="5"/>
      <c r="I118" s="5"/>
      <c r="J118" s="5"/>
      <c r="K118" s="5"/>
    </row>
    <row r="119" spans="2:11">
      <c r="B119" s="1460"/>
      <c r="C119" s="73"/>
      <c r="D119" s="45" t="s">
        <v>994</v>
      </c>
      <c r="E119" s="5"/>
      <c r="F119" s="5"/>
      <c r="G119" s="5"/>
      <c r="H119" s="5"/>
      <c r="I119" s="5"/>
      <c r="J119" s="5"/>
      <c r="K119" s="5"/>
    </row>
    <row r="120" spans="2:11" ht="15" thickBot="1">
      <c r="B120" s="1461"/>
      <c r="C120" s="2"/>
      <c r="D120" s="46" t="s">
        <v>995</v>
      </c>
      <c r="E120" s="5"/>
      <c r="F120" s="5"/>
      <c r="G120" s="5"/>
      <c r="H120" s="5"/>
      <c r="I120" s="5"/>
      <c r="J120" s="5"/>
      <c r="K120" s="5"/>
    </row>
    <row r="121" spans="2:11" ht="24.6" thickBot="1">
      <c r="B121" s="37" t="s">
        <v>71</v>
      </c>
      <c r="C121" s="2"/>
      <c r="D121" s="32"/>
      <c r="E121" s="5"/>
      <c r="F121" s="5"/>
      <c r="G121" s="5"/>
      <c r="H121" s="5"/>
      <c r="I121" s="5"/>
      <c r="J121" s="5"/>
      <c r="K121" s="5"/>
    </row>
    <row r="122" spans="2:11" ht="60">
      <c r="B122" s="1459" t="s">
        <v>72</v>
      </c>
      <c r="C122" s="73"/>
      <c r="D122" s="36" t="s">
        <v>996</v>
      </c>
      <c r="E122" s="5"/>
      <c r="F122" s="5"/>
      <c r="G122" s="5"/>
      <c r="H122" s="5"/>
      <c r="I122" s="5"/>
      <c r="J122" s="5"/>
      <c r="K122" s="5"/>
    </row>
    <row r="123" spans="2:11" ht="192">
      <c r="B123" s="1460"/>
      <c r="C123" s="73"/>
      <c r="D123" s="36" t="s">
        <v>997</v>
      </c>
      <c r="E123" s="5"/>
      <c r="F123" s="5"/>
      <c r="G123" s="5"/>
      <c r="H123" s="5"/>
      <c r="I123" s="5"/>
      <c r="J123" s="5"/>
      <c r="K123" s="5"/>
    </row>
    <row r="124" spans="2:11" ht="72">
      <c r="B124" s="1460"/>
      <c r="C124" s="73"/>
      <c r="D124" s="36" t="s">
        <v>998</v>
      </c>
      <c r="E124" s="5"/>
      <c r="F124" s="5"/>
      <c r="G124" s="5"/>
      <c r="H124" s="5"/>
      <c r="I124" s="5"/>
      <c r="J124" s="5"/>
      <c r="K124" s="5"/>
    </row>
    <row r="125" spans="2:11" ht="180.6" thickBot="1">
      <c r="B125" s="1461"/>
      <c r="C125" s="2"/>
      <c r="D125" s="32" t="s">
        <v>999</v>
      </c>
      <c r="E125" s="5"/>
      <c r="F125" s="5"/>
      <c r="G125" s="5"/>
      <c r="H125" s="5"/>
      <c r="I125" s="5"/>
      <c r="J125" s="5"/>
      <c r="K125" s="5"/>
    </row>
    <row r="126" spans="2:11">
      <c r="B126" s="1459" t="s">
        <v>89</v>
      </c>
      <c r="C126" s="73"/>
      <c r="D126" s="36"/>
      <c r="E126" s="5"/>
      <c r="F126" s="5"/>
      <c r="G126" s="5"/>
      <c r="H126" s="5"/>
      <c r="I126" s="5"/>
      <c r="J126" s="5"/>
      <c r="K126" s="5"/>
    </row>
    <row r="127" spans="2:11">
      <c r="B127" s="1460"/>
      <c r="C127" s="73"/>
      <c r="D127" s="13"/>
      <c r="E127" s="5"/>
      <c r="F127" s="5"/>
      <c r="G127" s="5"/>
      <c r="H127" s="5"/>
      <c r="I127" s="5"/>
      <c r="J127" s="5"/>
      <c r="K127" s="5"/>
    </row>
    <row r="128" spans="2:11">
      <c r="B128" s="1460"/>
      <c r="C128" s="73"/>
      <c r="D128" s="36" t="s">
        <v>90</v>
      </c>
      <c r="E128" s="5"/>
      <c r="F128" s="5"/>
      <c r="G128" s="5"/>
      <c r="H128" s="5"/>
      <c r="I128" s="5"/>
      <c r="J128" s="5"/>
      <c r="K128" s="5"/>
    </row>
    <row r="129" spans="2:11" ht="26.4">
      <c r="B129" s="1460"/>
      <c r="C129" s="73"/>
      <c r="D129" s="36" t="s">
        <v>1000</v>
      </c>
      <c r="E129" s="5"/>
      <c r="F129" s="5"/>
      <c r="G129" s="5"/>
      <c r="H129" s="5"/>
      <c r="I129" s="5"/>
      <c r="J129" s="5"/>
      <c r="K129" s="5"/>
    </row>
    <row r="130" spans="2:11" ht="38.4">
      <c r="B130" s="1460"/>
      <c r="C130" s="73"/>
      <c r="D130" s="36" t="s">
        <v>1001</v>
      </c>
      <c r="E130" s="5"/>
      <c r="F130" s="5"/>
      <c r="G130" s="5"/>
      <c r="H130" s="5"/>
      <c r="I130" s="5"/>
      <c r="J130" s="5"/>
      <c r="K130" s="5"/>
    </row>
    <row r="131" spans="2:11" ht="38.4">
      <c r="B131" s="1460"/>
      <c r="C131" s="73"/>
      <c r="D131" s="36" t="s">
        <v>1002</v>
      </c>
      <c r="E131" s="5"/>
      <c r="F131" s="5"/>
      <c r="G131" s="5"/>
      <c r="H131" s="5"/>
      <c r="I131" s="5"/>
      <c r="J131" s="5"/>
      <c r="K131" s="5"/>
    </row>
    <row r="132" spans="2:11" ht="38.4">
      <c r="B132" s="1460"/>
      <c r="C132" s="73"/>
      <c r="D132" s="36" t="s">
        <v>1003</v>
      </c>
      <c r="E132" s="5"/>
      <c r="F132" s="5"/>
      <c r="G132" s="5"/>
      <c r="H132" s="5"/>
      <c r="I132" s="5"/>
      <c r="J132" s="5"/>
      <c r="K132" s="5"/>
    </row>
    <row r="133" spans="2:11">
      <c r="B133" s="1460"/>
      <c r="C133" s="73"/>
      <c r="D133" s="36" t="s">
        <v>1004</v>
      </c>
      <c r="E133" s="5"/>
      <c r="F133" s="5"/>
      <c r="G133" s="5"/>
      <c r="H133" s="5"/>
      <c r="I133" s="5"/>
      <c r="J133" s="5"/>
      <c r="K133" s="5"/>
    </row>
    <row r="134" spans="2:11">
      <c r="B134" s="1460"/>
      <c r="C134" s="73"/>
      <c r="D134" s="36" t="s">
        <v>1005</v>
      </c>
      <c r="E134" s="5"/>
      <c r="F134" s="5"/>
      <c r="G134" s="5"/>
      <c r="H134" s="5"/>
      <c r="I134" s="5"/>
      <c r="J134" s="5"/>
      <c r="K134" s="5"/>
    </row>
    <row r="135" spans="2:11">
      <c r="B135" s="1460"/>
      <c r="C135" s="73"/>
      <c r="D135" s="36" t="s">
        <v>1006</v>
      </c>
      <c r="E135" s="5"/>
      <c r="F135" s="5"/>
      <c r="G135" s="5"/>
      <c r="H135" s="5"/>
      <c r="I135" s="5"/>
      <c r="J135" s="5"/>
      <c r="K135" s="5"/>
    </row>
    <row r="136" spans="2:11">
      <c r="B136" s="1460"/>
      <c r="C136" s="73"/>
      <c r="D136" s="36" t="s">
        <v>98</v>
      </c>
      <c r="E136" s="5"/>
      <c r="F136" s="5"/>
      <c r="G136" s="5"/>
      <c r="H136" s="5"/>
      <c r="I136" s="5"/>
      <c r="J136" s="5"/>
      <c r="K136" s="5"/>
    </row>
    <row r="137" spans="2:11" ht="48.6" thickBot="1">
      <c r="B137" s="1461"/>
      <c r="C137" s="2"/>
      <c r="D137" s="32" t="s">
        <v>1007</v>
      </c>
      <c r="E137" s="5"/>
      <c r="F137" s="5"/>
      <c r="G137" s="5"/>
      <c r="H137" s="5"/>
      <c r="I137" s="5"/>
      <c r="J137" s="5"/>
      <c r="K137" s="5"/>
    </row>
    <row r="138" spans="2:11">
      <c r="B138" s="5"/>
      <c r="D138" s="5"/>
      <c r="E138" s="5"/>
      <c r="F138" s="5"/>
      <c r="G138" s="5"/>
      <c r="H138" s="5"/>
      <c r="I138" s="5"/>
      <c r="J138" s="5"/>
      <c r="K138" s="5"/>
    </row>
    <row r="139" spans="2:11">
      <c r="B139" s="5"/>
      <c r="D139" s="5"/>
      <c r="E139" s="5"/>
      <c r="F139" s="5"/>
      <c r="G139" s="5"/>
      <c r="H139" s="5"/>
      <c r="I139" s="5"/>
      <c r="J139" s="5"/>
      <c r="K139" s="5"/>
    </row>
  </sheetData>
  <sheetProtection insertColumns="0" insertRows="0"/>
  <mergeCells count="49">
    <mergeCell ref="A1:P1"/>
    <mergeCell ref="A2:P2"/>
    <mergeCell ref="A3:P3"/>
    <mergeCell ref="A4:D4"/>
    <mergeCell ref="A5:P5"/>
    <mergeCell ref="B10:D10"/>
    <mergeCell ref="F10:S10"/>
    <mergeCell ref="F11:S11"/>
    <mergeCell ref="E12:R12"/>
    <mergeCell ref="E13:R13"/>
    <mergeCell ref="D76:M76"/>
    <mergeCell ref="D70:G70"/>
    <mergeCell ref="C68:C69"/>
    <mergeCell ref="D63:M63"/>
    <mergeCell ref="D71:M71"/>
    <mergeCell ref="D72:M72"/>
    <mergeCell ref="D77:M77"/>
    <mergeCell ref="B114:B120"/>
    <mergeCell ref="B122:B125"/>
    <mergeCell ref="B126:B137"/>
    <mergeCell ref="D82:M82"/>
    <mergeCell ref="E18:F18"/>
    <mergeCell ref="D62:M62"/>
    <mergeCell ref="D48:G48"/>
    <mergeCell ref="C59:C60"/>
    <mergeCell ref="D49:M49"/>
    <mergeCell ref="D53:M53"/>
    <mergeCell ref="I18:J18"/>
    <mergeCell ref="C37:C38"/>
    <mergeCell ref="G18:H18"/>
    <mergeCell ref="D21:M21"/>
    <mergeCell ref="C46:C47"/>
    <mergeCell ref="E61:L61"/>
    <mergeCell ref="B15:B19"/>
    <mergeCell ref="B108:I109"/>
    <mergeCell ref="D83:M83"/>
    <mergeCell ref="B85:E85"/>
    <mergeCell ref="B86:B92"/>
    <mergeCell ref="B94:E94"/>
    <mergeCell ref="B95:B101"/>
    <mergeCell ref="D41:M41"/>
    <mergeCell ref="D15:M15"/>
    <mergeCell ref="D16:M16"/>
    <mergeCell ref="D17:M17"/>
    <mergeCell ref="D26:M26"/>
    <mergeCell ref="D27:M27"/>
    <mergeCell ref="D31:M31"/>
    <mergeCell ref="D40:M40"/>
    <mergeCell ref="D18:D19"/>
  </mergeCells>
  <conditionalFormatting sqref="E81">
    <cfRule type="containsText" dxfId="20" priority="5" operator="containsText" text="ERROR">
      <formula>NOT(ISERROR(SEARCH("ERROR",E81)))</formula>
    </cfRule>
  </conditionalFormatting>
  <conditionalFormatting sqref="E12:R12">
    <cfRule type="expression" dxfId="19" priority="1">
      <formula>E11="SI SE REPORTA"</formula>
    </cfRule>
  </conditionalFormatting>
  <conditionalFormatting sqref="F10">
    <cfRule type="notContainsBlanks" dxfId="18" priority="4">
      <formula>LEN(TRIM(F10))&gt;0</formula>
    </cfRule>
  </conditionalFormatting>
  <conditionalFormatting sqref="F11:S11">
    <cfRule type="expression" dxfId="17" priority="2">
      <formula>E11="NO SE REPORTA"</formula>
    </cfRule>
    <cfRule type="expression" dxfId="16" priority="3">
      <formula>E10="NO APLICA"</formula>
    </cfRule>
  </conditionalFormatting>
  <dataValidations count="4">
    <dataValidation type="whole" operator="greaterThanOrEqual" allowBlank="1" showErrorMessage="1" errorTitle="ERROR" error="Escriba un número igual o mayor que 0" promptTitle="ERROR" prompt="Escriba un número igual o mayor que 0" sqref="E34:E36 E57:L58 E28:E30 E20:J20 E50:E52 E44:G45 F35:L36 E66:G67" xr:uid="{94F7FDB9-842D-4FC3-AE69-80A0C14FEA90}">
      <formula1>0</formula1>
    </dataValidation>
    <dataValidation type="decimal" allowBlank="1" showInputMessage="1" showErrorMessage="1" errorTitle="ERROR" error="Escriba un valor entre 0% y 100%" sqref="F79:F80" xr:uid="{82B11DBF-8C99-49FD-9F4D-B05D7CDE5743}">
      <formula1>0</formula1>
      <formula2>1</formula2>
    </dataValidation>
    <dataValidation type="list" allowBlank="1" showInputMessage="1" showErrorMessage="1" sqref="E11" xr:uid="{CF56BF5A-F710-4F1C-903F-3E663BD0E452}">
      <formula1>REPORTE</formula1>
    </dataValidation>
    <dataValidation type="list" allowBlank="1" showInputMessage="1" showErrorMessage="1" sqref="E10" xr:uid="{57A67A4F-DC83-4232-9BB3-38F81951C686}">
      <formula1>SI</formula1>
    </dataValidation>
  </dataValidations>
  <hyperlinks>
    <hyperlink ref="D119" r:id="rId1" display="http://www.sisaire.gov.co/" xr:uid="{DE893641-8995-424C-B917-A1F0A73BD8FB}"/>
    <hyperlink ref="D120" r:id="rId2" display="http://www.sirh.ideam.gov.co/" xr:uid="{BB60EF03-02BF-4426-9E4E-AD3FB026DE1B}"/>
    <hyperlink ref="B9" location="'ANEXO 3'!A1" display="VOLVER AL INDICE" xr:uid="{6AD2AF76-F4EA-48B0-AD05-1A1C750EE346}"/>
    <hyperlink ref="E90" r:id="rId3" display="jrestrepo@crautonoma.gov.co" xr:uid="{FB2FA366-B66D-434F-9364-1E4A099E609C}"/>
  </hyperlinks>
  <pageMargins left="0.25" right="0.25" top="0.75" bottom="0.75" header="0.3" footer="0.3"/>
  <pageSetup paperSize="178" orientation="landscape" horizontalDpi="1200" verticalDpi="1200" r:id="rId4"/>
  <drawing r:id="rId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6"/>
  <dimension ref="A1:U183"/>
  <sheetViews>
    <sheetView showGridLines="0" topLeftCell="A40" zoomScale="75" zoomScaleNormal="75" workbookViewId="0">
      <selection activeCell="O54" sqref="O54"/>
    </sheetView>
  </sheetViews>
  <sheetFormatPr baseColWidth="10" defaultRowHeight="14.4"/>
  <cols>
    <col min="1" max="1" width="1.88671875" customWidth="1"/>
    <col min="2" max="2" width="12.88671875" customWidth="1"/>
    <col min="3" max="3" width="5.109375" style="66" bestFit="1" customWidth="1"/>
    <col min="4" max="4" width="34.88671875" customWidth="1"/>
    <col min="5" max="5" width="12.109375" customWidth="1"/>
    <col min="11" max="11" width="22" customWidth="1"/>
  </cols>
  <sheetData>
    <row r="1" spans="1:21" s="314" customFormat="1" ht="100.5" customHeight="1" thickBot="1">
      <c r="A1" s="1421"/>
      <c r="B1" s="1422"/>
      <c r="C1" s="1422"/>
      <c r="D1" s="1422"/>
      <c r="E1" s="1422"/>
      <c r="F1" s="1422"/>
      <c r="G1" s="1422"/>
      <c r="H1" s="1422"/>
      <c r="I1" s="1422"/>
      <c r="J1" s="1422"/>
      <c r="K1" s="1422"/>
      <c r="L1" s="1422"/>
      <c r="M1" s="1422"/>
      <c r="N1" s="1422"/>
      <c r="O1" s="1422"/>
      <c r="P1" s="1423"/>
      <c r="Q1"/>
      <c r="R1"/>
    </row>
    <row r="2" spans="1:21" s="315" customFormat="1" ht="16.2" thickBot="1">
      <c r="A2" s="1418" t="str">
        <f>'[10]Datos Generales'!C5</f>
        <v>Corporación Autónoma Regional del Atlántico – CRA</v>
      </c>
      <c r="B2" s="1419"/>
      <c r="C2" s="1419"/>
      <c r="D2" s="1419"/>
      <c r="E2" s="1419"/>
      <c r="F2" s="1419"/>
      <c r="G2" s="1419"/>
      <c r="H2" s="1419"/>
      <c r="I2" s="1419"/>
      <c r="J2" s="1419"/>
      <c r="K2" s="1419"/>
      <c r="L2" s="1419"/>
      <c r="M2" s="1419"/>
      <c r="N2" s="1419"/>
      <c r="O2" s="1419"/>
      <c r="P2" s="1420"/>
      <c r="Q2"/>
      <c r="R2"/>
    </row>
    <row r="3" spans="1:21" s="315" customFormat="1" ht="16.2" thickBot="1">
      <c r="A3" s="1426" t="s">
        <v>1295</v>
      </c>
      <c r="B3" s="1427"/>
      <c r="C3" s="1427"/>
      <c r="D3" s="1427"/>
      <c r="E3" s="1427"/>
      <c r="F3" s="1427"/>
      <c r="G3" s="1427"/>
      <c r="H3" s="1427"/>
      <c r="I3" s="1427"/>
      <c r="J3" s="1427"/>
      <c r="K3" s="1427"/>
      <c r="L3" s="1427"/>
      <c r="M3" s="1427"/>
      <c r="N3" s="1427"/>
      <c r="O3" s="1427"/>
      <c r="P3" s="1428"/>
      <c r="Q3"/>
      <c r="R3"/>
    </row>
    <row r="4" spans="1:21" s="315" customFormat="1" ht="16.2" thickBot="1">
      <c r="A4" s="1424" t="s">
        <v>1294</v>
      </c>
      <c r="B4" s="1425"/>
      <c r="C4" s="1425"/>
      <c r="D4" s="1425"/>
      <c r="E4" s="322" t="str">
        <f>+'[8]Datos Generales'!C6</f>
        <v>2023-II</v>
      </c>
      <c r="F4" s="322"/>
      <c r="G4" s="322"/>
      <c r="H4" s="322"/>
      <c r="I4" s="322"/>
      <c r="J4" s="322"/>
      <c r="K4" s="322"/>
      <c r="L4" s="323"/>
      <c r="M4" s="323"/>
      <c r="N4" s="323"/>
      <c r="O4" s="323"/>
      <c r="P4" s="324"/>
      <c r="Q4"/>
      <c r="R4"/>
    </row>
    <row r="5" spans="1:21" ht="22.5" customHeight="1" thickBot="1">
      <c r="A5" s="1426" t="s">
        <v>1062</v>
      </c>
      <c r="B5" s="1427"/>
      <c r="C5" s="1427"/>
      <c r="D5" s="1427"/>
      <c r="E5" s="1427"/>
      <c r="F5" s="1427"/>
      <c r="G5" s="1427"/>
      <c r="H5" s="1427"/>
      <c r="I5" s="1427"/>
      <c r="J5" s="1427"/>
      <c r="K5" s="1427"/>
      <c r="L5" s="1427"/>
      <c r="M5" s="1427"/>
      <c r="N5" s="1427"/>
      <c r="O5" s="1427"/>
      <c r="P5" s="1428"/>
    </row>
    <row r="6" spans="1:21">
      <c r="B6" s="1" t="s">
        <v>1</v>
      </c>
      <c r="C6" s="64"/>
      <c r="D6" s="5"/>
      <c r="E6" s="62"/>
      <c r="F6" s="5" t="s">
        <v>127</v>
      </c>
      <c r="G6" s="5"/>
      <c r="H6" s="5"/>
      <c r="I6" s="5"/>
      <c r="J6" s="5"/>
      <c r="K6" s="5"/>
    </row>
    <row r="7" spans="1:21" ht="15" thickBot="1">
      <c r="B7" s="63"/>
      <c r="C7" s="65"/>
      <c r="D7" s="5"/>
      <c r="E7" s="14"/>
      <c r="F7" s="5" t="s">
        <v>128</v>
      </c>
      <c r="G7" s="5"/>
      <c r="H7" s="5"/>
      <c r="I7" s="5"/>
      <c r="J7" s="5"/>
      <c r="K7" s="5"/>
    </row>
    <row r="8" spans="1:21" ht="15" thickBot="1">
      <c r="B8" s="144" t="s">
        <v>1180</v>
      </c>
      <c r="C8" s="571">
        <v>2023</v>
      </c>
      <c r="D8" s="171">
        <f>IF(E10="NO APLICA","NO APLICA",IF(E11="NO SE REPORTA","SIN INFORMACION",+E30))</f>
        <v>1</v>
      </c>
      <c r="E8" s="168"/>
      <c r="F8" s="5" t="s">
        <v>129</v>
      </c>
      <c r="G8" s="5"/>
      <c r="H8" s="5"/>
      <c r="I8" s="5"/>
      <c r="J8" s="5"/>
      <c r="K8" s="5"/>
    </row>
    <row r="9" spans="1:21">
      <c r="B9" s="300" t="s">
        <v>1181</v>
      </c>
      <c r="D9" s="5"/>
      <c r="E9" s="5"/>
      <c r="F9" s="5"/>
      <c r="G9" s="5"/>
      <c r="H9" s="5"/>
      <c r="I9" s="5"/>
      <c r="J9" s="5"/>
      <c r="K9" s="5"/>
    </row>
    <row r="10" spans="1:21">
      <c r="B10" s="1429" t="s">
        <v>1236</v>
      </c>
      <c r="C10" s="1429"/>
      <c r="D10" s="1429"/>
      <c r="E10" s="303" t="s">
        <v>1233</v>
      </c>
      <c r="F10" s="1436"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437"/>
      <c r="H10" s="1437"/>
      <c r="I10" s="1437"/>
      <c r="J10" s="1437"/>
      <c r="K10" s="1437"/>
      <c r="L10" s="1437"/>
      <c r="M10" s="1437"/>
      <c r="N10" s="1437"/>
      <c r="O10" s="1437"/>
      <c r="P10" s="1437"/>
      <c r="Q10" s="1437"/>
      <c r="R10" s="1437"/>
      <c r="S10" s="1437"/>
      <c r="T10" s="5"/>
      <c r="U10" s="5"/>
    </row>
    <row r="11" spans="1:21" ht="14.4" customHeight="1">
      <c r="B11" s="302"/>
      <c r="C11" s="67"/>
      <c r="D11" s="144" t="str">
        <f>IF(E10="SI APLICA","¿El indicador no se reporta por limitaciones de información disponible? ","")</f>
        <v xml:space="preserve">¿El indicador no se reporta por limitaciones de información disponible? </v>
      </c>
      <c r="E11" s="304" t="s">
        <v>1235</v>
      </c>
      <c r="F11" s="1430"/>
      <c r="G11" s="1431"/>
      <c r="H11" s="1431"/>
      <c r="I11" s="1431"/>
      <c r="J11" s="1431"/>
      <c r="K11" s="1431"/>
      <c r="L11" s="1431"/>
      <c r="M11" s="1431"/>
      <c r="N11" s="1431"/>
      <c r="O11" s="1431"/>
      <c r="P11" s="1431"/>
      <c r="Q11" s="1431"/>
      <c r="R11" s="1431"/>
      <c r="S11" s="1431"/>
    </row>
    <row r="12" spans="1:21" ht="114" customHeight="1">
      <c r="B12" s="300"/>
      <c r="C12" s="67"/>
      <c r="D12" s="144" t="str">
        <f>IF(E11="SI SE REPORTA","¿Qué programas o proyectos del Plan de Acción están asociados al indicador? ","")</f>
        <v xml:space="preserve">¿Qué programas o proyectos del Plan de Acción están asociados al indicador? </v>
      </c>
      <c r="E12" s="1560" t="s">
        <v>1893</v>
      </c>
      <c r="F12" s="1560"/>
      <c r="G12" s="1560"/>
      <c r="H12" s="1560"/>
      <c r="I12" s="1560"/>
      <c r="J12" s="1560"/>
      <c r="K12" s="1560"/>
      <c r="L12" s="1560"/>
      <c r="M12" s="1560"/>
      <c r="N12" s="1560"/>
      <c r="O12" s="1560"/>
      <c r="P12" s="1560"/>
      <c r="Q12" s="1560"/>
      <c r="R12" s="1560"/>
    </row>
    <row r="13" spans="1:21" ht="35.25" customHeight="1">
      <c r="B13" s="300"/>
      <c r="C13" s="67"/>
      <c r="D13" s="144" t="s">
        <v>1238</v>
      </c>
      <c r="E13" s="1596" t="s">
        <v>1894</v>
      </c>
      <c r="F13" s="1597"/>
      <c r="G13" s="1597"/>
      <c r="H13" s="1597"/>
      <c r="I13" s="1597"/>
      <c r="J13" s="1597"/>
      <c r="K13" s="1597"/>
      <c r="L13" s="1597"/>
      <c r="M13" s="1597"/>
      <c r="N13" s="1597"/>
      <c r="O13" s="1597"/>
      <c r="P13" s="1597"/>
      <c r="Q13" s="1597"/>
      <c r="R13" s="1598"/>
    </row>
    <row r="14" spans="1:21" ht="6.9" customHeight="1" thickBot="1">
      <c r="B14" s="300"/>
      <c r="D14" s="5"/>
      <c r="E14" s="5"/>
      <c r="F14" s="5"/>
      <c r="G14" s="5"/>
      <c r="H14" s="5"/>
      <c r="I14" s="5"/>
      <c r="J14" s="5"/>
      <c r="K14" s="5"/>
    </row>
    <row r="15" spans="1:21">
      <c r="B15" s="1459" t="s">
        <v>2</v>
      </c>
      <c r="C15" s="68"/>
      <c r="D15" s="1447" t="s">
        <v>1076</v>
      </c>
      <c r="E15" s="1448"/>
      <c r="F15" s="1448"/>
      <c r="G15" s="1448"/>
      <c r="H15" s="1449"/>
      <c r="I15" s="5"/>
      <c r="J15" s="5"/>
      <c r="K15" s="5"/>
      <c r="L15" s="5"/>
      <c r="M15" s="5"/>
      <c r="N15" s="5"/>
      <c r="O15" s="5"/>
    </row>
    <row r="16" spans="1:21">
      <c r="B16" s="1460"/>
      <c r="C16" s="71"/>
      <c r="D16" s="1453" t="s">
        <v>1094</v>
      </c>
      <c r="E16" s="1454"/>
      <c r="F16" s="1454"/>
      <c r="G16" s="1454"/>
      <c r="H16" s="1455"/>
      <c r="I16" s="5"/>
      <c r="J16" s="5"/>
      <c r="K16" s="5"/>
      <c r="L16" s="5"/>
      <c r="M16" s="5"/>
      <c r="N16" s="5"/>
      <c r="O16" s="5"/>
    </row>
    <row r="17" spans="1:15" ht="15" thickBot="1">
      <c r="B17" s="1460"/>
      <c r="C17" s="71"/>
      <c r="D17" s="1472" t="s">
        <v>3</v>
      </c>
      <c r="E17" s="1473"/>
      <c r="F17" s="1473"/>
      <c r="G17" s="1473"/>
      <c r="H17" s="1474"/>
      <c r="I17" s="5"/>
      <c r="J17" s="5"/>
      <c r="K17" s="5"/>
      <c r="L17" s="5"/>
      <c r="M17" s="5"/>
      <c r="N17" s="5"/>
      <c r="O17" s="5"/>
    </row>
    <row r="18" spans="1:15" ht="15" thickBot="1">
      <c r="B18" s="1460"/>
      <c r="C18" s="77" t="s">
        <v>18</v>
      </c>
      <c r="D18" s="30" t="s">
        <v>1095</v>
      </c>
      <c r="E18" s="30" t="s">
        <v>1096</v>
      </c>
      <c r="F18" s="30" t="s">
        <v>1097</v>
      </c>
      <c r="G18" s="30" t="s">
        <v>1098</v>
      </c>
      <c r="H18" s="92"/>
      <c r="I18" s="5"/>
      <c r="J18" s="5"/>
      <c r="K18" s="5"/>
      <c r="L18" s="5"/>
      <c r="M18" s="5"/>
      <c r="N18" s="5"/>
      <c r="O18" s="5"/>
    </row>
    <row r="19" spans="1:15" ht="15" thickBot="1">
      <c r="B19" s="1460"/>
      <c r="C19" s="2" t="s">
        <v>151</v>
      </c>
      <c r="D19" s="32" t="s">
        <v>1099</v>
      </c>
      <c r="E19" s="1322">
        <v>68</v>
      </c>
      <c r="F19" s="547">
        <v>0</v>
      </c>
      <c r="G19" s="547">
        <v>25</v>
      </c>
      <c r="H19" s="93"/>
      <c r="I19" s="5"/>
      <c r="J19" s="5"/>
      <c r="K19" s="5"/>
      <c r="L19" s="5"/>
      <c r="M19" s="5"/>
      <c r="N19" s="5"/>
      <c r="O19" s="5"/>
    </row>
    <row r="20" spans="1:15" ht="24.6" thickBot="1">
      <c r="B20" s="1460"/>
      <c r="C20" s="2" t="s">
        <v>153</v>
      </c>
      <c r="D20" s="32" t="s">
        <v>1100</v>
      </c>
      <c r="E20" s="1322">
        <v>68</v>
      </c>
      <c r="F20" s="547">
        <v>0</v>
      </c>
      <c r="G20" s="547">
        <v>25</v>
      </c>
      <c r="H20" s="93"/>
      <c r="I20" s="5"/>
      <c r="J20" s="5"/>
      <c r="K20" s="5"/>
      <c r="L20" s="5"/>
      <c r="M20" s="5"/>
      <c r="N20" s="5"/>
      <c r="O20" s="5"/>
    </row>
    <row r="21" spans="1:15" ht="24.6" thickBot="1">
      <c r="B21" s="1460"/>
      <c r="C21" s="2" t="s">
        <v>155</v>
      </c>
      <c r="D21" s="32" t="s">
        <v>1101</v>
      </c>
      <c r="E21" s="120">
        <f>IFERROR(E19/E20,"N.A")</f>
        <v>1</v>
      </c>
      <c r="F21" s="120" t="str">
        <f>IFERROR(F19/F20,"N.A")</f>
        <v>N.A</v>
      </c>
      <c r="G21" s="120">
        <f>IFERROR(G19/G20,"N.A")</f>
        <v>1</v>
      </c>
      <c r="H21" s="94"/>
      <c r="I21" s="5"/>
      <c r="J21" s="5"/>
      <c r="K21" s="5"/>
      <c r="L21" s="5"/>
      <c r="M21" s="5"/>
      <c r="N21" s="5"/>
      <c r="O21" s="5"/>
    </row>
    <row r="22" spans="1:15">
      <c r="B22" s="1460"/>
      <c r="C22" s="71"/>
      <c r="D22" s="1450"/>
      <c r="E22" s="1451"/>
      <c r="F22" s="1451"/>
      <c r="G22" s="1451"/>
      <c r="H22" s="1452"/>
      <c r="I22" s="5"/>
      <c r="J22" s="5"/>
      <c r="K22" s="5"/>
      <c r="L22" s="5"/>
      <c r="M22" s="5"/>
      <c r="N22" s="5"/>
      <c r="O22" s="5"/>
    </row>
    <row r="23" spans="1:15" ht="24" customHeight="1" thickBot="1">
      <c r="B23" s="1460"/>
      <c r="C23" s="71"/>
      <c r="D23" s="1453" t="s">
        <v>1089</v>
      </c>
      <c r="E23" s="1454"/>
      <c r="F23" s="1454"/>
      <c r="G23" s="1454"/>
      <c r="H23" s="1455"/>
      <c r="I23" s="5"/>
      <c r="J23" s="5"/>
      <c r="K23" s="5"/>
      <c r="L23" s="5"/>
      <c r="M23" s="5"/>
      <c r="N23" s="5"/>
      <c r="O23" s="5"/>
    </row>
    <row r="24" spans="1:15" ht="15" thickBot="1">
      <c r="B24" s="1460"/>
      <c r="C24" s="77" t="s">
        <v>18</v>
      </c>
      <c r="D24" s="30" t="s">
        <v>1095</v>
      </c>
      <c r="E24" s="30" t="s">
        <v>1102</v>
      </c>
      <c r="F24" s="30" t="s">
        <v>1103</v>
      </c>
      <c r="H24" s="17"/>
      <c r="I24" s="5"/>
      <c r="J24" s="5"/>
      <c r="K24" s="5"/>
      <c r="L24" s="5"/>
      <c r="M24" s="5" t="s">
        <v>876</v>
      </c>
      <c r="N24" s="5"/>
      <c r="O24" s="5"/>
    </row>
    <row r="25" spans="1:15" ht="15" thickBot="1">
      <c r="B25" s="1460"/>
      <c r="C25" s="2" t="s">
        <v>151</v>
      </c>
      <c r="D25" s="32" t="s">
        <v>1104</v>
      </c>
      <c r="E25" s="1322">
        <v>373</v>
      </c>
      <c r="F25" s="547">
        <v>119</v>
      </c>
      <c r="G25" s="1752"/>
      <c r="H25" s="1753"/>
      <c r="I25" s="5"/>
      <c r="J25" s="5"/>
      <c r="K25" s="5"/>
      <c r="L25" s="5"/>
      <c r="M25" s="5"/>
      <c r="N25" s="5"/>
      <c r="O25" s="5"/>
    </row>
    <row r="26" spans="1:15" ht="24.6" thickBot="1">
      <c r="B26" s="1460"/>
      <c r="C26" s="2" t="s">
        <v>153</v>
      </c>
      <c r="D26" s="32" t="s">
        <v>1105</v>
      </c>
      <c r="E26" s="1322">
        <v>373</v>
      </c>
      <c r="F26" s="547">
        <v>119</v>
      </c>
      <c r="G26" s="1752"/>
      <c r="H26" s="1753"/>
      <c r="I26" s="5"/>
      <c r="J26" s="5"/>
      <c r="K26" s="5"/>
      <c r="L26" s="5"/>
      <c r="M26" s="5"/>
      <c r="N26" s="5"/>
      <c r="O26" s="5"/>
    </row>
    <row r="27" spans="1:15" ht="24.6" thickBot="1">
      <c r="B27" s="1460"/>
      <c r="C27" s="2" t="s">
        <v>155</v>
      </c>
      <c r="D27" s="32" t="s">
        <v>1175</v>
      </c>
      <c r="E27" s="120">
        <f>IFERROR(E25/E26,"N.A.")</f>
        <v>1</v>
      </c>
      <c r="F27" s="120">
        <f>IFERROR(F25/F26,"N.A.")</f>
        <v>1</v>
      </c>
      <c r="H27" s="17"/>
      <c r="I27" s="5"/>
      <c r="J27" s="5"/>
      <c r="K27" s="5"/>
    </row>
    <row r="28" spans="1:15" ht="15" thickBot="1">
      <c r="B28" s="1461"/>
      <c r="C28" s="2"/>
      <c r="D28" s="103"/>
      <c r="E28" s="103"/>
      <c r="F28" s="103"/>
      <c r="G28" s="103"/>
      <c r="H28" s="19"/>
      <c r="I28" s="5"/>
      <c r="J28" s="5"/>
      <c r="K28" s="5"/>
    </row>
    <row r="29" spans="1:15" ht="15" thickBot="1">
      <c r="A29" s="5"/>
      <c r="B29" s="5"/>
      <c r="C29" s="5"/>
      <c r="D29" s="5"/>
      <c r="E29" s="5"/>
      <c r="F29" s="5"/>
      <c r="G29" s="5"/>
      <c r="H29" s="5"/>
      <c r="I29" s="5"/>
      <c r="J29" s="5"/>
      <c r="K29" s="5"/>
    </row>
    <row r="30" spans="1:15" ht="25.65" customHeight="1" thickBot="1">
      <c r="A30" s="5"/>
      <c r="B30" s="5"/>
      <c r="C30" s="5"/>
      <c r="D30" s="42" t="s">
        <v>1231</v>
      </c>
      <c r="E30" s="120">
        <f>AVERAGE(E21:G21,E27:F27)</f>
        <v>1</v>
      </c>
      <c r="F30" s="257"/>
      <c r="G30" s="257"/>
      <c r="H30" s="54"/>
      <c r="I30" s="5"/>
      <c r="J30" s="5"/>
      <c r="K30" s="5"/>
    </row>
    <row r="31" spans="1:15">
      <c r="A31" s="5"/>
      <c r="B31" s="5"/>
      <c r="C31" s="5"/>
      <c r="D31" s="5"/>
      <c r="E31" s="5"/>
      <c r="F31" s="5"/>
      <c r="G31" s="5"/>
      <c r="H31" s="5"/>
      <c r="I31" s="5"/>
      <c r="J31" s="5"/>
      <c r="K31" s="5"/>
    </row>
    <row r="32" spans="1:15" ht="15" thickBot="1">
      <c r="A32" s="5"/>
      <c r="B32" s="5"/>
      <c r="C32" s="5"/>
      <c r="D32" s="5"/>
      <c r="E32" s="5"/>
      <c r="F32" s="5"/>
      <c r="G32" s="5"/>
      <c r="H32" s="5"/>
      <c r="I32" s="5"/>
      <c r="J32" s="5"/>
      <c r="K32" s="5"/>
    </row>
    <row r="33" spans="2:11" ht="36" customHeight="1" thickBot="1">
      <c r="B33" s="42" t="s">
        <v>33</v>
      </c>
      <c r="C33" s="188"/>
      <c r="D33" s="1462" t="s">
        <v>1106</v>
      </c>
      <c r="E33" s="1463"/>
      <c r="F33" s="1463"/>
      <c r="G33" s="1463"/>
      <c r="H33" s="1464"/>
      <c r="I33" s="5"/>
      <c r="J33" s="5"/>
      <c r="K33" s="5"/>
    </row>
    <row r="34" spans="2:11" ht="48" customHeight="1" thickBot="1">
      <c r="B34" s="37" t="s">
        <v>35</v>
      </c>
      <c r="C34" s="72"/>
      <c r="D34" s="1462" t="s">
        <v>1107</v>
      </c>
      <c r="E34" s="1463"/>
      <c r="F34" s="1463"/>
      <c r="G34" s="1463"/>
      <c r="H34" s="1464"/>
      <c r="I34" s="5"/>
      <c r="J34" s="5"/>
      <c r="K34" s="5"/>
    </row>
    <row r="35" spans="2:11" ht="15" thickBot="1">
      <c r="B35" s="1"/>
      <c r="C35" s="64"/>
      <c r="D35" s="5"/>
      <c r="E35" s="5"/>
      <c r="F35" s="5"/>
      <c r="G35" s="5"/>
      <c r="H35" s="5"/>
      <c r="I35" s="5"/>
      <c r="J35" s="5"/>
      <c r="K35" s="5"/>
    </row>
    <row r="36" spans="2:11" ht="24" customHeight="1" thickBot="1">
      <c r="B36" s="1469" t="s">
        <v>37</v>
      </c>
      <c r="C36" s="1470"/>
      <c r="D36" s="1470"/>
      <c r="E36" s="1471"/>
      <c r="F36" s="5"/>
      <c r="G36" s="5"/>
      <c r="H36" s="5"/>
      <c r="I36" s="5"/>
      <c r="J36" s="5"/>
      <c r="K36" s="5"/>
    </row>
    <row r="37" spans="2:11" ht="21.6" thickBot="1">
      <c r="B37" s="1459">
        <v>1</v>
      </c>
      <c r="C37" s="73"/>
      <c r="D37" s="38" t="s">
        <v>38</v>
      </c>
      <c r="E37" s="633" t="s">
        <v>1814</v>
      </c>
      <c r="F37" s="5"/>
      <c r="G37" s="5"/>
      <c r="H37" s="5"/>
      <c r="I37" s="5"/>
      <c r="J37" s="5"/>
      <c r="K37" s="5"/>
    </row>
    <row r="38" spans="2:11" ht="36.6" thickBot="1">
      <c r="B38" s="1460"/>
      <c r="C38" s="73"/>
      <c r="D38" s="32" t="s">
        <v>39</v>
      </c>
      <c r="E38" s="282" t="s">
        <v>1888</v>
      </c>
      <c r="F38" s="5"/>
      <c r="G38" s="5"/>
      <c r="H38" s="5"/>
      <c r="I38" s="5"/>
      <c r="J38" s="5"/>
      <c r="K38" s="5"/>
    </row>
    <row r="39" spans="2:11" ht="15" thickBot="1">
      <c r="B39" s="1460"/>
      <c r="C39" s="73"/>
      <c r="D39" s="32" t="s">
        <v>40</v>
      </c>
      <c r="E39" s="282" t="s">
        <v>2049</v>
      </c>
      <c r="F39" s="5"/>
      <c r="G39" s="5"/>
      <c r="H39" s="5"/>
      <c r="I39" s="5"/>
      <c r="J39" s="5"/>
      <c r="K39" s="5"/>
    </row>
    <row r="40" spans="2:11" ht="15" thickBot="1">
      <c r="B40" s="1460"/>
      <c r="C40" s="73"/>
      <c r="D40" s="32" t="s">
        <v>41</v>
      </c>
      <c r="E40" s="133" t="s">
        <v>2050</v>
      </c>
      <c r="F40" s="5"/>
      <c r="G40" s="5"/>
      <c r="H40" s="5"/>
      <c r="I40" s="5"/>
      <c r="J40" s="5"/>
      <c r="K40" s="5"/>
    </row>
    <row r="41" spans="2:11" ht="43.8" thickBot="1">
      <c r="B41" s="1460"/>
      <c r="C41" s="73"/>
      <c r="D41" s="32" t="s">
        <v>42</v>
      </c>
      <c r="E41" s="448" t="s">
        <v>1825</v>
      </c>
      <c r="F41" s="5"/>
      <c r="G41" s="5"/>
      <c r="H41" s="5"/>
      <c r="I41" s="5"/>
      <c r="J41" s="5"/>
      <c r="K41" s="5"/>
    </row>
    <row r="42" spans="2:11" ht="15" thickBot="1">
      <c r="B42" s="1460"/>
      <c r="C42" s="73"/>
      <c r="D42" s="32" t="s">
        <v>43</v>
      </c>
      <c r="E42" s="282" t="s">
        <v>1826</v>
      </c>
      <c r="F42" s="5"/>
      <c r="G42" s="5"/>
      <c r="H42" s="5"/>
      <c r="I42" s="5"/>
      <c r="J42" s="5"/>
      <c r="K42" s="5"/>
    </row>
    <row r="43" spans="2:11" ht="24.6" thickBot="1">
      <c r="B43" s="1461"/>
      <c r="C43" s="2"/>
      <c r="D43" s="32" t="s">
        <v>44</v>
      </c>
      <c r="E43" s="282" t="s">
        <v>1817</v>
      </c>
      <c r="F43" s="5"/>
      <c r="G43" s="5"/>
      <c r="H43" s="5"/>
      <c r="I43" s="5"/>
      <c r="J43" s="5"/>
      <c r="K43" s="5"/>
    </row>
    <row r="44" spans="2:11" ht="15" thickBot="1">
      <c r="B44" s="1"/>
      <c r="C44" s="64"/>
      <c r="D44" s="5"/>
      <c r="E44" s="5"/>
      <c r="F44" s="5"/>
      <c r="G44" s="5"/>
      <c r="H44" s="5"/>
      <c r="I44" s="5"/>
      <c r="J44" s="5"/>
      <c r="K44" s="5"/>
    </row>
    <row r="45" spans="2:11" ht="15" thickBot="1">
      <c r="B45" s="1469" t="s">
        <v>45</v>
      </c>
      <c r="C45" s="1470"/>
      <c r="D45" s="1470"/>
      <c r="E45" s="1471"/>
      <c r="F45" s="5"/>
      <c r="G45" s="5"/>
      <c r="H45" s="5"/>
      <c r="I45" s="5"/>
      <c r="J45" s="5"/>
      <c r="K45" s="5"/>
    </row>
    <row r="46" spans="2:11" ht="15" thickBot="1">
      <c r="B46" s="1459">
        <v>1</v>
      </c>
      <c r="C46" s="73"/>
      <c r="D46" s="38" t="s">
        <v>38</v>
      </c>
      <c r="E46" s="15" t="s">
        <v>46</v>
      </c>
      <c r="F46" s="5"/>
      <c r="G46" s="5"/>
      <c r="H46" s="5"/>
      <c r="I46" s="5"/>
      <c r="J46" s="5"/>
      <c r="K46" s="5"/>
    </row>
    <row r="47" spans="2:11" ht="15" thickBot="1">
      <c r="B47" s="1460"/>
      <c r="C47" s="73"/>
      <c r="D47" s="32" t="s">
        <v>39</v>
      </c>
      <c r="E47" s="15" t="s">
        <v>159</v>
      </c>
      <c r="F47" s="5"/>
      <c r="G47" s="5"/>
      <c r="H47" s="5"/>
      <c r="I47" s="5"/>
      <c r="J47" s="5"/>
      <c r="K47" s="5"/>
    </row>
    <row r="48" spans="2:11" ht="15" thickBot="1">
      <c r="B48" s="1460"/>
      <c r="C48" s="73"/>
      <c r="D48" s="32" t="s">
        <v>40</v>
      </c>
      <c r="E48" s="138"/>
      <c r="F48" s="5"/>
      <c r="G48" s="5"/>
      <c r="H48" s="5"/>
      <c r="I48" s="5"/>
      <c r="J48" s="5"/>
      <c r="K48" s="5"/>
    </row>
    <row r="49" spans="2:11" ht="15" thickBot="1">
      <c r="B49" s="1460"/>
      <c r="C49" s="73"/>
      <c r="D49" s="32" t="s">
        <v>41</v>
      </c>
      <c r="E49" s="138"/>
      <c r="F49" s="5"/>
      <c r="G49" s="5"/>
      <c r="H49" s="5"/>
      <c r="I49" s="5"/>
      <c r="J49" s="5"/>
      <c r="K49" s="5"/>
    </row>
    <row r="50" spans="2:11" ht="15" thickBot="1">
      <c r="B50" s="1460"/>
      <c r="C50" s="73"/>
      <c r="D50" s="32" t="s">
        <v>42</v>
      </c>
      <c r="E50" s="138"/>
      <c r="F50" s="5"/>
      <c r="G50" s="5"/>
      <c r="H50" s="5"/>
      <c r="I50" s="5"/>
      <c r="J50" s="5"/>
      <c r="K50" s="5"/>
    </row>
    <row r="51" spans="2:11" ht="15" thickBot="1">
      <c r="B51" s="1460"/>
      <c r="C51" s="73"/>
      <c r="D51" s="32" t="s">
        <v>43</v>
      </c>
      <c r="E51" s="138"/>
      <c r="F51" s="5"/>
      <c r="G51" s="5"/>
      <c r="H51" s="5"/>
      <c r="I51" s="5"/>
      <c r="J51" s="5"/>
      <c r="K51" s="5"/>
    </row>
    <row r="52" spans="2:11" ht="15" thickBot="1">
      <c r="B52" s="1461"/>
      <c r="C52" s="2"/>
      <c r="D52" s="32" t="s">
        <v>44</v>
      </c>
      <c r="E52" s="138"/>
      <c r="F52" s="5"/>
      <c r="G52" s="5"/>
      <c r="H52" s="5"/>
      <c r="I52" s="5"/>
      <c r="J52" s="5"/>
      <c r="K52" s="5"/>
    </row>
    <row r="53" spans="2:11" ht="15" thickBot="1">
      <c r="B53" s="1"/>
      <c r="C53" s="64"/>
      <c r="D53" s="5"/>
      <c r="E53" s="5"/>
      <c r="F53" s="5"/>
      <c r="G53" s="5"/>
      <c r="H53" s="5"/>
      <c r="I53" s="5"/>
      <c r="J53" s="5"/>
      <c r="K53" s="5"/>
    </row>
    <row r="54" spans="2:11" ht="15" customHeight="1" thickBot="1">
      <c r="B54" s="100" t="s">
        <v>48</v>
      </c>
      <c r="C54" s="101"/>
      <c r="D54" s="101"/>
      <c r="E54" s="102"/>
      <c r="G54" s="5"/>
      <c r="H54" s="5"/>
      <c r="I54" s="5"/>
      <c r="J54" s="5"/>
      <c r="K54" s="5"/>
    </row>
    <row r="55" spans="2:11" ht="24.6" thickBot="1">
      <c r="B55" s="37" t="s">
        <v>49</v>
      </c>
      <c r="C55" s="32" t="s">
        <v>50</v>
      </c>
      <c r="D55" s="32" t="s">
        <v>51</v>
      </c>
      <c r="E55" s="32" t="s">
        <v>52</v>
      </c>
      <c r="F55" s="5"/>
      <c r="G55" s="5"/>
      <c r="H55" s="5"/>
      <c r="I55" s="5"/>
      <c r="J55" s="5"/>
    </row>
    <row r="56" spans="2:11" ht="60.6" thickBot="1">
      <c r="B56" s="39">
        <v>42401</v>
      </c>
      <c r="C56" s="32">
        <v>0.01</v>
      </c>
      <c r="D56" s="40" t="s">
        <v>1108</v>
      </c>
      <c r="E56" s="32"/>
      <c r="F56" s="5"/>
      <c r="G56" s="5"/>
      <c r="H56" s="5"/>
      <c r="I56" s="5"/>
      <c r="J56" s="5"/>
    </row>
    <row r="57" spans="2:11" ht="15" thickBot="1">
      <c r="B57" s="3"/>
      <c r="C57" s="74"/>
      <c r="D57" s="5"/>
      <c r="E57" s="5"/>
      <c r="F57" s="5"/>
      <c r="G57" s="5"/>
      <c r="H57" s="5"/>
      <c r="I57" s="5"/>
      <c r="J57" s="5"/>
      <c r="K57" s="5"/>
    </row>
    <row r="58" spans="2:11" ht="15" thickBot="1">
      <c r="B58" s="106" t="s">
        <v>54</v>
      </c>
      <c r="C58" s="75"/>
      <c r="D58" s="5"/>
      <c r="E58" s="5"/>
      <c r="F58" s="5"/>
      <c r="G58" s="5"/>
      <c r="H58" s="5"/>
      <c r="I58" s="5"/>
      <c r="J58" s="5"/>
      <c r="K58" s="5"/>
    </row>
    <row r="59" spans="2:11">
      <c r="B59" s="1532"/>
      <c r="C59" s="1533"/>
      <c r="D59" s="1533"/>
      <c r="E59" s="1534"/>
      <c r="F59" s="5"/>
      <c r="G59" s="5"/>
      <c r="H59" s="5"/>
      <c r="I59" s="5"/>
      <c r="J59" s="5"/>
      <c r="K59" s="5"/>
    </row>
    <row r="60" spans="2:11" ht="15" thickBot="1">
      <c r="B60" s="1535"/>
      <c r="C60" s="1536"/>
      <c r="D60" s="1536"/>
      <c r="E60" s="1537"/>
      <c r="F60" s="5"/>
      <c r="G60" s="5"/>
      <c r="H60" s="5"/>
      <c r="I60" s="5"/>
      <c r="J60" s="5"/>
      <c r="K60" s="5"/>
    </row>
    <row r="61" spans="2:11" ht="15" thickBot="1">
      <c r="B61" s="5"/>
      <c r="D61" s="5"/>
      <c r="E61" s="5"/>
      <c r="F61" s="5"/>
      <c r="G61" s="5"/>
      <c r="H61" s="5"/>
      <c r="I61" s="5"/>
      <c r="J61" s="5"/>
      <c r="K61" s="5"/>
    </row>
    <row r="62" spans="2:11" ht="24.6" thickBot="1">
      <c r="B62" s="41" t="s">
        <v>55</v>
      </c>
      <c r="C62" s="76"/>
      <c r="D62" s="5"/>
      <c r="E62" s="5"/>
      <c r="F62" s="5"/>
      <c r="G62" s="5"/>
      <c r="H62" s="5"/>
      <c r="I62" s="5"/>
      <c r="J62" s="5"/>
      <c r="K62" s="5"/>
    </row>
    <row r="63" spans="2:11" ht="15" thickBot="1">
      <c r="B63" s="1"/>
      <c r="C63" s="64"/>
      <c r="D63" s="5"/>
      <c r="E63" s="5"/>
      <c r="F63" s="5"/>
      <c r="G63" s="5"/>
      <c r="H63" s="5"/>
      <c r="I63" s="5"/>
      <c r="J63" s="5"/>
      <c r="K63" s="5"/>
    </row>
    <row r="64" spans="2:11" ht="48.6" thickBot="1">
      <c r="B64" s="42" t="s">
        <v>56</v>
      </c>
      <c r="C64" s="77"/>
      <c r="D64" s="34" t="s">
        <v>1063</v>
      </c>
      <c r="E64" s="5"/>
      <c r="F64" s="5"/>
      <c r="G64" s="5"/>
      <c r="H64" s="5"/>
      <c r="I64" s="5"/>
      <c r="J64" s="5"/>
      <c r="K64" s="5"/>
    </row>
    <row r="65" spans="2:11">
      <c r="B65" s="1459" t="s">
        <v>58</v>
      </c>
      <c r="C65" s="73"/>
      <c r="D65" s="43" t="s">
        <v>59</v>
      </c>
      <c r="E65" s="5"/>
      <c r="F65" s="5"/>
      <c r="G65" s="5"/>
      <c r="H65" s="5"/>
      <c r="I65" s="5"/>
      <c r="J65" s="5"/>
      <c r="K65" s="5"/>
    </row>
    <row r="66" spans="2:11" ht="48">
      <c r="B66" s="1460"/>
      <c r="C66" s="73"/>
      <c r="D66" s="36" t="s">
        <v>1064</v>
      </c>
      <c r="E66" s="5"/>
      <c r="F66" s="5"/>
      <c r="G66" s="5"/>
      <c r="H66" s="5"/>
      <c r="I66" s="5"/>
      <c r="J66" s="5"/>
      <c r="K66" s="5"/>
    </row>
    <row r="67" spans="2:11">
      <c r="B67" s="1460"/>
      <c r="C67" s="73"/>
      <c r="D67" s="43" t="s">
        <v>133</v>
      </c>
      <c r="E67" s="5"/>
      <c r="F67" s="5"/>
      <c r="G67" s="5"/>
      <c r="H67" s="5"/>
      <c r="I67" s="5"/>
      <c r="J67" s="5"/>
      <c r="K67" s="5"/>
    </row>
    <row r="68" spans="2:11">
      <c r="B68" s="1460"/>
      <c r="C68" s="73"/>
      <c r="D68" s="36" t="s">
        <v>64</v>
      </c>
      <c r="E68" s="5"/>
      <c r="F68" s="5"/>
      <c r="G68" s="5"/>
      <c r="H68" s="5"/>
      <c r="I68" s="5"/>
      <c r="J68" s="5"/>
      <c r="K68" s="5"/>
    </row>
    <row r="69" spans="2:11">
      <c r="B69" s="1460"/>
      <c r="C69" s="73"/>
      <c r="D69" s="36" t="s">
        <v>992</v>
      </c>
      <c r="E69" s="5"/>
      <c r="F69" s="5"/>
      <c r="G69" s="5"/>
      <c r="H69" s="5"/>
      <c r="I69" s="5"/>
      <c r="J69" s="5"/>
      <c r="K69" s="5"/>
    </row>
    <row r="70" spans="2:11" ht="48">
      <c r="B70" s="1460"/>
      <c r="C70" s="73"/>
      <c r="D70" s="36" t="s">
        <v>993</v>
      </c>
      <c r="E70" s="5"/>
      <c r="F70" s="5"/>
      <c r="G70" s="5"/>
      <c r="H70" s="5"/>
      <c r="I70" s="5"/>
      <c r="J70" s="5"/>
      <c r="K70" s="5"/>
    </row>
    <row r="71" spans="2:11" ht="24">
      <c r="B71" s="1460"/>
      <c r="C71" s="73"/>
      <c r="D71" s="36" t="s">
        <v>1065</v>
      </c>
      <c r="E71" s="5"/>
      <c r="F71" s="5"/>
      <c r="G71" s="5"/>
      <c r="H71" s="5"/>
      <c r="I71" s="5"/>
      <c r="J71" s="5"/>
      <c r="K71" s="5"/>
    </row>
    <row r="72" spans="2:11">
      <c r="B72" s="1460"/>
      <c r="C72" s="73"/>
      <c r="D72" s="36" t="s">
        <v>1066</v>
      </c>
      <c r="E72" s="5"/>
      <c r="F72" s="5"/>
      <c r="G72" s="5"/>
      <c r="H72" s="5"/>
      <c r="I72" s="5"/>
      <c r="J72" s="5"/>
      <c r="K72" s="5"/>
    </row>
    <row r="73" spans="2:11">
      <c r="B73" s="1460"/>
      <c r="C73" s="73"/>
      <c r="D73" s="43" t="s">
        <v>1067</v>
      </c>
      <c r="E73" s="5"/>
      <c r="F73" s="5"/>
      <c r="G73" s="5"/>
      <c r="H73" s="5"/>
      <c r="I73" s="5"/>
      <c r="J73" s="5"/>
      <c r="K73" s="5"/>
    </row>
    <row r="74" spans="2:11" ht="60">
      <c r="B74" s="1460"/>
      <c r="C74" s="73"/>
      <c r="D74" s="36" t="s">
        <v>1068</v>
      </c>
      <c r="E74" s="5"/>
      <c r="F74" s="5"/>
      <c r="G74" s="5"/>
      <c r="H74" s="5"/>
      <c r="I74" s="5"/>
      <c r="J74" s="5"/>
      <c r="K74" s="5"/>
    </row>
    <row r="75" spans="2:11">
      <c r="B75" s="1460"/>
      <c r="C75" s="73"/>
      <c r="D75" s="45" t="s">
        <v>994</v>
      </c>
      <c r="E75" s="5"/>
      <c r="F75" s="5"/>
      <c r="G75" s="5"/>
      <c r="H75" s="5"/>
      <c r="I75" s="5"/>
      <c r="J75" s="5"/>
      <c r="K75" s="5"/>
    </row>
    <row r="76" spans="2:11" ht="15" thickBot="1">
      <c r="B76" s="1461"/>
      <c r="C76" s="2"/>
      <c r="D76" s="46" t="s">
        <v>995</v>
      </c>
      <c r="E76" s="5"/>
      <c r="F76" s="5"/>
      <c r="G76" s="5"/>
      <c r="H76" s="5"/>
      <c r="I76" s="5"/>
      <c r="J76" s="5"/>
      <c r="K76" s="5"/>
    </row>
    <row r="77" spans="2:11" ht="24.6" thickBot="1">
      <c r="B77" s="37" t="s">
        <v>71</v>
      </c>
      <c r="C77" s="2"/>
      <c r="D77" s="32" t="s">
        <v>1069</v>
      </c>
      <c r="E77" s="5"/>
      <c r="F77" s="5"/>
      <c r="G77" s="5"/>
      <c r="H77" s="5"/>
      <c r="I77" s="5"/>
      <c r="J77" s="5"/>
      <c r="K77" s="5"/>
    </row>
    <row r="78" spans="2:11" ht="96">
      <c r="B78" s="1459" t="s">
        <v>72</v>
      </c>
      <c r="C78" s="73"/>
      <c r="D78" s="36" t="s">
        <v>1070</v>
      </c>
      <c r="E78" s="5"/>
      <c r="F78" s="5"/>
      <c r="G78" s="5"/>
      <c r="H78" s="5"/>
      <c r="I78" s="5"/>
      <c r="J78" s="5"/>
      <c r="K78" s="5"/>
    </row>
    <row r="79" spans="2:11" ht="180">
      <c r="B79" s="1460"/>
      <c r="C79" s="73"/>
      <c r="D79" s="36" t="s">
        <v>1071</v>
      </c>
      <c r="E79" s="5"/>
      <c r="F79" s="5"/>
      <c r="G79" s="5"/>
      <c r="H79" s="5"/>
      <c r="I79" s="5"/>
      <c r="J79" s="5"/>
      <c r="K79" s="5"/>
    </row>
    <row r="80" spans="2:11" ht="204">
      <c r="B80" s="1460"/>
      <c r="C80" s="73"/>
      <c r="D80" s="36" t="s">
        <v>1072</v>
      </c>
      <c r="E80" s="5"/>
      <c r="F80" s="5"/>
      <c r="G80" s="5"/>
      <c r="H80" s="5"/>
      <c r="I80" s="5"/>
      <c r="J80" s="5"/>
      <c r="K80" s="5"/>
    </row>
    <row r="81" spans="2:11" ht="72">
      <c r="B81" s="1460"/>
      <c r="C81" s="73"/>
      <c r="D81" s="36" t="s">
        <v>1073</v>
      </c>
      <c r="E81" s="5"/>
      <c r="F81" s="5"/>
      <c r="G81" s="5"/>
      <c r="H81" s="5"/>
      <c r="I81" s="5"/>
      <c r="J81" s="5"/>
      <c r="K81" s="5"/>
    </row>
    <row r="82" spans="2:11" ht="180">
      <c r="B82" s="1460"/>
      <c r="C82" s="73"/>
      <c r="D82" s="36" t="s">
        <v>999</v>
      </c>
      <c r="E82" s="5"/>
      <c r="F82" s="5"/>
      <c r="G82" s="5"/>
      <c r="H82" s="5"/>
      <c r="I82" s="5"/>
      <c r="J82" s="5"/>
      <c r="K82" s="5"/>
    </row>
    <row r="83" spans="2:11" ht="168">
      <c r="B83" s="1460"/>
      <c r="C83" s="73"/>
      <c r="D83" s="36" t="s">
        <v>1074</v>
      </c>
      <c r="E83" s="5"/>
      <c r="F83" s="5"/>
      <c r="G83" s="5"/>
      <c r="H83" s="5"/>
      <c r="I83" s="5"/>
      <c r="J83" s="5"/>
      <c r="K83" s="5"/>
    </row>
    <row r="84" spans="2:11" ht="108.6" thickBot="1">
      <c r="B84" s="1461"/>
      <c r="C84" s="2"/>
      <c r="D84" s="32" t="s">
        <v>1075</v>
      </c>
      <c r="E84" s="5"/>
      <c r="F84" s="5"/>
      <c r="G84" s="5"/>
      <c r="H84" s="5"/>
      <c r="I84" s="5"/>
      <c r="J84" s="5"/>
      <c r="K84" s="5"/>
    </row>
    <row r="85" spans="2:11" ht="24">
      <c r="B85" s="1459" t="s">
        <v>89</v>
      </c>
      <c r="C85" s="73"/>
      <c r="D85" s="47" t="s">
        <v>1076</v>
      </c>
      <c r="E85" s="5"/>
      <c r="F85" s="5"/>
      <c r="G85" s="5"/>
      <c r="H85" s="5"/>
      <c r="I85" s="5"/>
      <c r="J85" s="5"/>
      <c r="K85" s="5"/>
    </row>
    <row r="86" spans="2:11">
      <c r="B86" s="1460"/>
      <c r="C86" s="73"/>
      <c r="D86" s="13"/>
      <c r="E86" s="5"/>
      <c r="F86" s="5"/>
      <c r="G86" s="5"/>
      <c r="H86" s="5"/>
      <c r="I86" s="5"/>
      <c r="J86" s="5"/>
      <c r="K86" s="5"/>
    </row>
    <row r="87" spans="2:11">
      <c r="B87" s="1460"/>
      <c r="C87" s="73"/>
      <c r="D87" s="36" t="s">
        <v>90</v>
      </c>
      <c r="E87" s="5"/>
      <c r="F87" s="5"/>
      <c r="G87" s="5"/>
      <c r="H87" s="5"/>
      <c r="I87" s="5"/>
      <c r="J87" s="5"/>
      <c r="K87" s="5"/>
    </row>
    <row r="88" spans="2:11" ht="26.4">
      <c r="B88" s="1460"/>
      <c r="C88" s="73"/>
      <c r="D88" s="36" t="s">
        <v>1077</v>
      </c>
      <c r="E88" s="5"/>
      <c r="F88" s="5"/>
      <c r="G88" s="5"/>
      <c r="H88" s="5"/>
      <c r="I88" s="5"/>
      <c r="J88" s="5"/>
      <c r="K88" s="5"/>
    </row>
    <row r="89" spans="2:11" ht="38.4">
      <c r="B89" s="1460"/>
      <c r="C89" s="73"/>
      <c r="D89" s="36" t="s">
        <v>1078</v>
      </c>
      <c r="E89" s="5"/>
      <c r="F89" s="5"/>
      <c r="G89" s="5"/>
      <c r="H89" s="5"/>
      <c r="I89" s="5"/>
      <c r="J89" s="5"/>
      <c r="K89" s="5"/>
    </row>
    <row r="90" spans="2:11">
      <c r="B90" s="1460"/>
      <c r="C90" s="73"/>
      <c r="D90" s="36" t="s">
        <v>1079</v>
      </c>
      <c r="E90" s="5"/>
      <c r="F90" s="5"/>
      <c r="G90" s="5"/>
      <c r="H90" s="5"/>
      <c r="I90" s="5"/>
      <c r="J90" s="5"/>
      <c r="K90" s="5"/>
    </row>
    <row r="91" spans="2:11" ht="38.4">
      <c r="B91" s="1460"/>
      <c r="C91" s="73"/>
      <c r="D91" s="36" t="s">
        <v>1080</v>
      </c>
      <c r="E91" s="5"/>
      <c r="F91" s="5"/>
      <c r="G91" s="5"/>
      <c r="H91" s="5"/>
      <c r="I91" s="5"/>
      <c r="J91" s="5"/>
      <c r="K91" s="5"/>
    </row>
    <row r="92" spans="2:11" ht="48">
      <c r="B92" s="1460"/>
      <c r="C92" s="73"/>
      <c r="D92" s="36" t="s">
        <v>1081</v>
      </c>
      <c r="E92" s="5"/>
      <c r="F92" s="5"/>
      <c r="G92" s="5"/>
      <c r="H92" s="5"/>
      <c r="I92" s="5"/>
      <c r="J92" s="5"/>
      <c r="K92" s="5"/>
    </row>
    <row r="93" spans="2:11" ht="48">
      <c r="B93" s="1460"/>
      <c r="C93" s="73"/>
      <c r="D93" s="36" t="s">
        <v>1082</v>
      </c>
      <c r="E93" s="5"/>
      <c r="F93" s="5"/>
      <c r="G93" s="5"/>
      <c r="H93" s="5"/>
      <c r="I93" s="5"/>
      <c r="J93" s="5"/>
      <c r="K93" s="5"/>
    </row>
    <row r="94" spans="2:11" ht="24">
      <c r="B94" s="1460"/>
      <c r="C94" s="73"/>
      <c r="D94" s="43" t="s">
        <v>1083</v>
      </c>
      <c r="E94" s="5"/>
      <c r="F94" s="5"/>
      <c r="G94" s="5"/>
      <c r="H94" s="5"/>
      <c r="I94" s="5"/>
      <c r="J94" s="5"/>
      <c r="K94" s="5"/>
    </row>
    <row r="95" spans="2:11">
      <c r="B95" s="1460"/>
      <c r="C95" s="73"/>
      <c r="D95" s="13"/>
      <c r="E95" s="5"/>
      <c r="F95" s="5"/>
      <c r="G95" s="5"/>
      <c r="H95" s="5"/>
      <c r="I95" s="5"/>
      <c r="J95" s="5"/>
      <c r="K95" s="5"/>
    </row>
    <row r="96" spans="2:11">
      <c r="B96" s="1460"/>
      <c r="C96" s="73"/>
      <c r="D96" s="36" t="s">
        <v>90</v>
      </c>
      <c r="E96" s="5"/>
      <c r="F96" s="5"/>
      <c r="G96" s="5"/>
      <c r="H96" s="5"/>
      <c r="I96" s="5"/>
      <c r="J96" s="5"/>
      <c r="K96" s="5"/>
    </row>
    <row r="97" spans="2:11" ht="38.4">
      <c r="B97" s="1460"/>
      <c r="C97" s="73"/>
      <c r="D97" s="36" t="s">
        <v>1084</v>
      </c>
      <c r="E97" s="5"/>
      <c r="F97" s="5"/>
      <c r="G97" s="5"/>
      <c r="H97" s="5"/>
      <c r="I97" s="5"/>
      <c r="J97" s="5"/>
      <c r="K97" s="5"/>
    </row>
    <row r="98" spans="2:11" ht="26.4">
      <c r="B98" s="1460"/>
      <c r="C98" s="73"/>
      <c r="D98" s="36" t="s">
        <v>1085</v>
      </c>
      <c r="E98" s="5"/>
      <c r="F98" s="5"/>
      <c r="G98" s="5"/>
      <c r="H98" s="5"/>
      <c r="I98" s="5"/>
      <c r="J98" s="5"/>
      <c r="K98" s="5"/>
    </row>
    <row r="99" spans="2:11" ht="38.4">
      <c r="B99" s="1460"/>
      <c r="C99" s="73"/>
      <c r="D99" s="36" t="s">
        <v>1086</v>
      </c>
      <c r="E99" s="5"/>
      <c r="F99" s="5"/>
      <c r="G99" s="5"/>
      <c r="H99" s="5"/>
      <c r="I99" s="5"/>
      <c r="J99" s="5"/>
      <c r="K99" s="5"/>
    </row>
    <row r="100" spans="2:11">
      <c r="B100" s="1460"/>
      <c r="C100" s="73"/>
      <c r="D100" s="48" t="s">
        <v>1087</v>
      </c>
      <c r="E100" s="5"/>
      <c r="F100" s="5"/>
      <c r="G100" s="5"/>
      <c r="H100" s="5"/>
      <c r="I100" s="5"/>
      <c r="J100" s="5"/>
      <c r="K100" s="5"/>
    </row>
    <row r="101" spans="2:11" ht="60">
      <c r="B101" s="1460"/>
      <c r="C101" s="73"/>
      <c r="D101" s="36" t="s">
        <v>1088</v>
      </c>
      <c r="E101" s="5"/>
      <c r="F101" s="5"/>
      <c r="G101" s="5"/>
      <c r="H101" s="5"/>
      <c r="I101" s="5"/>
      <c r="J101" s="5"/>
      <c r="K101" s="5"/>
    </row>
    <row r="102" spans="2:11" ht="36">
      <c r="B102" s="1460"/>
      <c r="C102" s="73"/>
      <c r="D102" s="43" t="s">
        <v>1089</v>
      </c>
      <c r="E102" s="5"/>
      <c r="F102" s="5"/>
      <c r="G102" s="5"/>
      <c r="H102" s="5"/>
      <c r="I102" s="5"/>
      <c r="J102" s="5"/>
      <c r="K102" s="5"/>
    </row>
    <row r="103" spans="2:11">
      <c r="B103" s="1460"/>
      <c r="C103" s="73"/>
      <c r="D103" s="13"/>
      <c r="E103" s="5"/>
      <c r="F103" s="5"/>
      <c r="G103" s="5"/>
      <c r="H103" s="5"/>
      <c r="I103" s="5"/>
      <c r="J103" s="5"/>
      <c r="K103" s="5"/>
    </row>
    <row r="104" spans="2:11">
      <c r="B104" s="1460"/>
      <c r="C104" s="73"/>
      <c r="D104" s="36" t="s">
        <v>90</v>
      </c>
      <c r="E104" s="5"/>
      <c r="F104" s="5"/>
      <c r="G104" s="5"/>
      <c r="H104" s="5"/>
      <c r="I104" s="5"/>
      <c r="J104" s="5"/>
      <c r="K104" s="5"/>
    </row>
    <row r="105" spans="2:11" ht="38.4">
      <c r="B105" s="1460"/>
      <c r="C105" s="73"/>
      <c r="D105" s="36" t="s">
        <v>1090</v>
      </c>
      <c r="E105" s="5"/>
      <c r="F105" s="5"/>
      <c r="G105" s="5"/>
      <c r="H105" s="5"/>
      <c r="I105" s="5"/>
      <c r="J105" s="5"/>
      <c r="K105" s="5"/>
    </row>
    <row r="106" spans="2:11" ht="50.4">
      <c r="B106" s="1460"/>
      <c r="C106" s="73"/>
      <c r="D106" s="36" t="s">
        <v>1091</v>
      </c>
      <c r="E106" s="5"/>
      <c r="F106" s="5"/>
      <c r="G106" s="5"/>
      <c r="H106" s="5"/>
      <c r="I106" s="5"/>
      <c r="J106" s="5"/>
      <c r="K106" s="5"/>
    </row>
    <row r="107" spans="2:11" ht="38.4">
      <c r="B107" s="1460"/>
      <c r="C107" s="73"/>
      <c r="D107" s="36" t="s">
        <v>1092</v>
      </c>
      <c r="E107" s="5"/>
      <c r="F107" s="5"/>
      <c r="G107" s="5"/>
      <c r="H107" s="5"/>
      <c r="I107" s="5"/>
      <c r="J107" s="5"/>
      <c r="K107" s="5"/>
    </row>
    <row r="108" spans="2:11" ht="15" thickBot="1">
      <c r="B108" s="1461"/>
      <c r="C108" s="2"/>
      <c r="D108" s="32" t="s">
        <v>1093</v>
      </c>
      <c r="E108" s="5"/>
      <c r="F108" s="5"/>
      <c r="G108" s="5"/>
      <c r="H108" s="5"/>
      <c r="I108" s="5"/>
      <c r="J108" s="5"/>
      <c r="K108" s="5"/>
    </row>
    <row r="109" spans="2:11">
      <c r="B109" s="5"/>
      <c r="D109" s="5"/>
      <c r="E109" s="5"/>
      <c r="F109" s="5"/>
      <c r="G109" s="5"/>
      <c r="H109" s="5"/>
      <c r="I109" s="5"/>
      <c r="J109" s="5"/>
      <c r="K109" s="5"/>
    </row>
    <row r="110" spans="2:11">
      <c r="B110" s="5"/>
      <c r="D110" s="5"/>
      <c r="E110" s="5"/>
      <c r="F110" s="5"/>
      <c r="G110" s="5"/>
      <c r="H110" s="5"/>
      <c r="I110" s="5"/>
      <c r="J110" s="5"/>
      <c r="K110" s="5"/>
    </row>
    <row r="111" spans="2:11">
      <c r="B111" s="5"/>
      <c r="D111" s="5"/>
      <c r="E111" s="5"/>
      <c r="F111" s="5"/>
      <c r="G111" s="5"/>
      <c r="H111" s="5"/>
      <c r="I111" s="5"/>
      <c r="J111" s="5"/>
      <c r="K111" s="5"/>
    </row>
    <row r="112" spans="2:11">
      <c r="B112" s="5"/>
      <c r="D112" s="5"/>
      <c r="E112" s="5"/>
      <c r="F112" s="5"/>
      <c r="G112" s="5"/>
      <c r="H112" s="5"/>
      <c r="I112" s="5"/>
      <c r="J112" s="5"/>
      <c r="K112" s="5"/>
    </row>
    <row r="113" spans="2:11">
      <c r="B113" s="5"/>
      <c r="D113" s="5"/>
      <c r="E113" s="5"/>
      <c r="F113" s="5"/>
      <c r="G113" s="5"/>
      <c r="H113" s="5"/>
      <c r="I113" s="5"/>
      <c r="J113" s="5"/>
      <c r="K113" s="5"/>
    </row>
    <row r="114" spans="2:11">
      <c r="B114" s="5"/>
      <c r="D114" s="5"/>
      <c r="E114" s="5"/>
      <c r="F114" s="5"/>
      <c r="G114" s="5"/>
      <c r="H114" s="5"/>
      <c r="I114" s="5"/>
      <c r="J114" s="5"/>
      <c r="K114" s="5"/>
    </row>
    <row r="115" spans="2:11">
      <c r="B115" s="5"/>
      <c r="D115" s="5"/>
      <c r="E115" s="5"/>
      <c r="F115" s="5"/>
      <c r="G115" s="5"/>
      <c r="H115" s="5"/>
      <c r="I115" s="5"/>
      <c r="J115" s="5"/>
      <c r="K115" s="5"/>
    </row>
    <row r="116" spans="2:11">
      <c r="B116" s="5"/>
      <c r="D116" s="5"/>
      <c r="E116" s="5"/>
      <c r="F116" s="5"/>
      <c r="G116" s="5"/>
      <c r="H116" s="5"/>
      <c r="I116" s="5"/>
      <c r="J116" s="5"/>
      <c r="K116" s="5"/>
    </row>
    <row r="117" spans="2:11">
      <c r="B117" s="5"/>
      <c r="D117" s="5"/>
      <c r="E117" s="5"/>
      <c r="F117" s="5"/>
      <c r="G117" s="5"/>
      <c r="H117" s="5"/>
      <c r="I117" s="5"/>
      <c r="J117" s="5"/>
      <c r="K117" s="5"/>
    </row>
    <row r="118" spans="2:11">
      <c r="B118" s="5"/>
      <c r="D118" s="5"/>
      <c r="E118" s="5"/>
      <c r="F118" s="5"/>
      <c r="G118" s="5"/>
      <c r="H118" s="5"/>
      <c r="I118" s="5"/>
      <c r="J118" s="5"/>
      <c r="K118" s="5"/>
    </row>
    <row r="119" spans="2:11">
      <c r="B119" s="5"/>
      <c r="D119" s="5"/>
      <c r="E119" s="5"/>
      <c r="F119" s="5"/>
      <c r="G119" s="5"/>
      <c r="H119" s="5"/>
      <c r="I119" s="5"/>
      <c r="J119" s="5"/>
      <c r="K119" s="5"/>
    </row>
    <row r="120" spans="2:11">
      <c r="B120" s="5"/>
      <c r="D120" s="5"/>
      <c r="E120" s="5"/>
      <c r="F120" s="5"/>
      <c r="G120" s="5"/>
      <c r="H120" s="5"/>
      <c r="I120" s="5"/>
      <c r="J120" s="5"/>
      <c r="K120" s="5"/>
    </row>
    <row r="121" spans="2:11">
      <c r="B121" s="5"/>
      <c r="D121" s="5"/>
      <c r="E121" s="5"/>
      <c r="F121" s="5"/>
      <c r="G121" s="5"/>
      <c r="H121" s="5"/>
      <c r="I121" s="5"/>
      <c r="J121" s="5"/>
      <c r="K121" s="5"/>
    </row>
    <row r="122" spans="2:11">
      <c r="B122" s="5"/>
      <c r="D122" s="5"/>
      <c r="E122" s="5"/>
      <c r="F122" s="5"/>
      <c r="G122" s="5"/>
      <c r="H122" s="5"/>
      <c r="I122" s="5"/>
      <c r="J122" s="5"/>
      <c r="K122" s="5"/>
    </row>
    <row r="123" spans="2:11">
      <c r="B123" s="5"/>
      <c r="D123" s="5"/>
      <c r="E123" s="5"/>
      <c r="F123" s="5"/>
      <c r="G123" s="5"/>
      <c r="H123" s="5"/>
      <c r="I123" s="5"/>
      <c r="J123" s="5"/>
      <c r="K123" s="5"/>
    </row>
    <row r="124" spans="2:11">
      <c r="B124" s="5"/>
      <c r="D124" s="5"/>
      <c r="E124" s="5"/>
      <c r="F124" s="5"/>
      <c r="G124" s="5"/>
      <c r="H124" s="5"/>
      <c r="I124" s="5"/>
      <c r="J124" s="5"/>
      <c r="K124" s="5"/>
    </row>
    <row r="125" spans="2:11">
      <c r="B125" s="5"/>
      <c r="D125" s="5"/>
      <c r="E125" s="5"/>
      <c r="F125" s="5"/>
      <c r="G125" s="5"/>
      <c r="H125" s="5"/>
      <c r="I125" s="5"/>
      <c r="J125" s="5"/>
      <c r="K125" s="5"/>
    </row>
    <row r="126" spans="2:11">
      <c r="B126" s="5"/>
      <c r="D126" s="5"/>
      <c r="E126" s="5"/>
      <c r="F126" s="5"/>
      <c r="G126" s="5"/>
      <c r="H126" s="5"/>
      <c r="I126" s="5"/>
      <c r="J126" s="5"/>
      <c r="K126" s="5"/>
    </row>
    <row r="127" spans="2:11">
      <c r="B127" s="5"/>
      <c r="D127" s="5"/>
      <c r="E127" s="5"/>
      <c r="F127" s="5"/>
      <c r="G127" s="5"/>
      <c r="H127" s="5"/>
      <c r="I127" s="5"/>
      <c r="J127" s="5"/>
      <c r="K127" s="5"/>
    </row>
    <row r="128" spans="2:11">
      <c r="B128" s="5"/>
      <c r="D128" s="5"/>
      <c r="E128" s="5"/>
      <c r="F128" s="5"/>
      <c r="G128" s="5"/>
      <c r="H128" s="5"/>
      <c r="I128" s="5"/>
      <c r="J128" s="5"/>
      <c r="K128" s="5"/>
    </row>
    <row r="129" spans="2:11">
      <c r="B129" s="5"/>
      <c r="D129" s="5"/>
      <c r="E129" s="5"/>
      <c r="F129" s="5"/>
      <c r="G129" s="5"/>
      <c r="H129" s="5"/>
      <c r="I129" s="5"/>
      <c r="J129" s="5"/>
      <c r="K129" s="5"/>
    </row>
    <row r="130" spans="2:11">
      <c r="B130" s="5"/>
      <c r="D130" s="5"/>
      <c r="E130" s="5"/>
      <c r="F130" s="5"/>
      <c r="G130" s="5"/>
      <c r="H130" s="5"/>
      <c r="I130" s="5"/>
      <c r="J130" s="5"/>
      <c r="K130" s="5"/>
    </row>
    <row r="131" spans="2:11">
      <c r="B131" s="5"/>
      <c r="D131" s="5"/>
      <c r="E131" s="5"/>
      <c r="F131" s="5"/>
      <c r="G131" s="5"/>
      <c r="H131" s="5"/>
      <c r="I131" s="5"/>
      <c r="J131" s="5"/>
      <c r="K131" s="5"/>
    </row>
    <row r="132" spans="2:11">
      <c r="B132" s="5"/>
      <c r="D132" s="5"/>
      <c r="E132" s="5"/>
      <c r="F132" s="5"/>
      <c r="G132" s="5"/>
      <c r="H132" s="5"/>
      <c r="I132" s="5"/>
      <c r="J132" s="5"/>
      <c r="K132" s="5"/>
    </row>
    <row r="133" spans="2:11">
      <c r="B133" s="5"/>
      <c r="D133" s="5"/>
      <c r="E133" s="5"/>
      <c r="F133" s="5"/>
      <c r="G133" s="5"/>
      <c r="H133" s="5"/>
      <c r="I133" s="5"/>
      <c r="J133" s="5"/>
      <c r="K133" s="5"/>
    </row>
    <row r="134" spans="2:11">
      <c r="B134" s="5"/>
      <c r="D134" s="5"/>
      <c r="E134" s="5"/>
      <c r="F134" s="5"/>
      <c r="G134" s="5"/>
      <c r="H134" s="5"/>
      <c r="I134" s="5"/>
      <c r="J134" s="5"/>
      <c r="K134" s="5"/>
    </row>
    <row r="135" spans="2:11">
      <c r="B135" s="5"/>
      <c r="D135" s="5"/>
      <c r="E135" s="5"/>
      <c r="F135" s="5"/>
      <c r="G135" s="5"/>
      <c r="H135" s="5"/>
      <c r="I135" s="5"/>
      <c r="J135" s="5"/>
      <c r="K135" s="5"/>
    </row>
    <row r="136" spans="2:11">
      <c r="B136" s="5"/>
      <c r="D136" s="5"/>
      <c r="E136" s="5"/>
      <c r="F136" s="5"/>
      <c r="G136" s="5"/>
      <c r="H136" s="5"/>
      <c r="I136" s="5"/>
      <c r="J136" s="5"/>
      <c r="K136" s="5"/>
    </row>
    <row r="137" spans="2:11">
      <c r="B137" s="5"/>
      <c r="D137" s="5"/>
      <c r="E137" s="5"/>
      <c r="F137" s="5"/>
      <c r="G137" s="5"/>
      <c r="H137" s="5"/>
      <c r="I137" s="5"/>
      <c r="J137" s="5"/>
      <c r="K137" s="5"/>
    </row>
    <row r="138" spans="2:11">
      <c r="B138" s="5"/>
      <c r="D138" s="5"/>
      <c r="E138" s="5"/>
      <c r="F138" s="5"/>
      <c r="G138" s="5"/>
      <c r="H138" s="5"/>
      <c r="I138" s="5"/>
      <c r="J138" s="5"/>
      <c r="K138" s="5"/>
    </row>
    <row r="139" spans="2:11">
      <c r="B139" s="5"/>
      <c r="D139" s="5"/>
      <c r="E139" s="5"/>
      <c r="F139" s="5"/>
      <c r="G139" s="5"/>
      <c r="H139" s="5"/>
      <c r="I139" s="5"/>
      <c r="J139" s="5"/>
      <c r="K139" s="5"/>
    </row>
    <row r="140" spans="2:11">
      <c r="B140" s="5"/>
      <c r="D140" s="5"/>
      <c r="E140" s="5"/>
      <c r="F140" s="5"/>
      <c r="G140" s="5"/>
      <c r="H140" s="5"/>
      <c r="I140" s="5"/>
      <c r="J140" s="5"/>
      <c r="K140" s="5"/>
    </row>
    <row r="141" spans="2:11">
      <c r="B141" s="5"/>
      <c r="D141" s="5"/>
      <c r="E141" s="5"/>
      <c r="F141" s="5"/>
      <c r="G141" s="5"/>
      <c r="H141" s="5"/>
      <c r="I141" s="5"/>
      <c r="J141" s="5"/>
      <c r="K141" s="5"/>
    </row>
    <row r="142" spans="2:11">
      <c r="B142" s="5"/>
      <c r="D142" s="5"/>
      <c r="E142" s="5"/>
      <c r="F142" s="5"/>
      <c r="G142" s="5"/>
      <c r="H142" s="5"/>
      <c r="I142" s="5"/>
      <c r="J142" s="5"/>
      <c r="K142" s="5"/>
    </row>
    <row r="143" spans="2:11">
      <c r="B143" s="5"/>
      <c r="D143" s="5"/>
      <c r="E143" s="5"/>
      <c r="F143" s="5"/>
      <c r="G143" s="5"/>
      <c r="H143" s="5"/>
      <c r="I143" s="5"/>
      <c r="J143" s="5"/>
      <c r="K143" s="5"/>
    </row>
    <row r="144" spans="2:11">
      <c r="B144" s="5"/>
      <c r="D144" s="5"/>
      <c r="E144" s="5"/>
      <c r="F144" s="5"/>
      <c r="G144" s="5"/>
      <c r="H144" s="5"/>
      <c r="I144" s="5"/>
      <c r="J144" s="5"/>
      <c r="K144" s="5"/>
    </row>
    <row r="145" spans="2:11">
      <c r="B145" s="5"/>
      <c r="D145" s="5"/>
      <c r="E145" s="5"/>
      <c r="F145" s="5"/>
      <c r="G145" s="5"/>
      <c r="H145" s="5"/>
      <c r="I145" s="5"/>
      <c r="J145" s="5"/>
      <c r="K145" s="5"/>
    </row>
    <row r="146" spans="2:11">
      <c r="B146" s="5"/>
      <c r="D146" s="5"/>
      <c r="E146" s="5"/>
      <c r="F146" s="5"/>
      <c r="G146" s="5"/>
      <c r="H146" s="5"/>
      <c r="I146" s="5"/>
      <c r="J146" s="5"/>
      <c r="K146" s="5"/>
    </row>
    <row r="147" spans="2:11">
      <c r="B147" s="5"/>
      <c r="D147" s="5"/>
      <c r="E147" s="5"/>
      <c r="F147" s="5"/>
      <c r="G147" s="5"/>
      <c r="H147" s="5"/>
      <c r="I147" s="5"/>
      <c r="J147" s="5"/>
      <c r="K147" s="5"/>
    </row>
    <row r="148" spans="2:11">
      <c r="B148" s="5"/>
      <c r="D148" s="5"/>
      <c r="E148" s="5"/>
      <c r="F148" s="5"/>
      <c r="G148" s="5"/>
      <c r="H148" s="5"/>
      <c r="I148" s="5"/>
      <c r="J148" s="5"/>
      <c r="K148" s="5"/>
    </row>
    <row r="149" spans="2:11">
      <c r="B149" s="5"/>
      <c r="D149" s="5"/>
      <c r="E149" s="5"/>
      <c r="F149" s="5"/>
      <c r="G149" s="5"/>
      <c r="H149" s="5"/>
      <c r="I149" s="5"/>
      <c r="J149" s="5"/>
      <c r="K149" s="5"/>
    </row>
    <row r="150" spans="2:11">
      <c r="B150" s="5"/>
      <c r="D150" s="5"/>
      <c r="E150" s="5"/>
      <c r="F150" s="5"/>
      <c r="G150" s="5"/>
      <c r="H150" s="5"/>
      <c r="I150" s="5"/>
      <c r="J150" s="5"/>
      <c r="K150" s="5"/>
    </row>
    <row r="151" spans="2:11">
      <c r="B151" s="5"/>
      <c r="D151" s="5"/>
      <c r="E151" s="5"/>
      <c r="F151" s="5"/>
      <c r="G151" s="5"/>
      <c r="H151" s="5"/>
      <c r="I151" s="5"/>
      <c r="J151" s="5"/>
      <c r="K151" s="5"/>
    </row>
    <row r="152" spans="2:11">
      <c r="B152" s="5"/>
      <c r="D152" s="5"/>
      <c r="E152" s="5"/>
      <c r="F152" s="5"/>
      <c r="G152" s="5"/>
      <c r="H152" s="5"/>
      <c r="I152" s="5"/>
      <c r="J152" s="5"/>
      <c r="K152" s="5"/>
    </row>
    <row r="153" spans="2:11">
      <c r="B153" s="5"/>
      <c r="D153" s="5"/>
      <c r="E153" s="5"/>
      <c r="F153" s="5"/>
      <c r="G153" s="5"/>
      <c r="H153" s="5"/>
      <c r="I153" s="5"/>
      <c r="J153" s="5"/>
      <c r="K153" s="5"/>
    </row>
    <row r="154" spans="2:11">
      <c r="B154" s="5"/>
      <c r="D154" s="5"/>
      <c r="E154" s="5"/>
      <c r="F154" s="5"/>
      <c r="G154" s="5"/>
      <c r="H154" s="5"/>
      <c r="I154" s="5"/>
      <c r="J154" s="5"/>
      <c r="K154" s="5"/>
    </row>
    <row r="155" spans="2:11">
      <c r="B155" s="5"/>
      <c r="D155" s="5"/>
      <c r="E155" s="5"/>
      <c r="F155" s="5"/>
      <c r="G155" s="5"/>
      <c r="H155" s="5"/>
      <c r="I155" s="5"/>
      <c r="J155" s="5"/>
      <c r="K155" s="5"/>
    </row>
    <row r="156" spans="2:11">
      <c r="B156" s="5"/>
      <c r="D156" s="5"/>
      <c r="E156" s="5"/>
      <c r="F156" s="5"/>
      <c r="G156" s="5"/>
      <c r="H156" s="5"/>
      <c r="I156" s="5"/>
      <c r="J156" s="5"/>
      <c r="K156" s="5"/>
    </row>
    <row r="157" spans="2:11">
      <c r="B157" s="5"/>
      <c r="D157" s="5"/>
      <c r="E157" s="5"/>
      <c r="F157" s="5"/>
      <c r="G157" s="5"/>
      <c r="H157" s="5"/>
      <c r="I157" s="5"/>
      <c r="J157" s="5"/>
      <c r="K157" s="5"/>
    </row>
    <row r="158" spans="2:11">
      <c r="B158" s="5"/>
      <c r="D158" s="5"/>
      <c r="E158" s="5"/>
      <c r="F158" s="5"/>
      <c r="G158" s="5"/>
      <c r="H158" s="5"/>
      <c r="I158" s="5"/>
      <c r="J158" s="5"/>
      <c r="K158" s="5"/>
    </row>
    <row r="159" spans="2:11">
      <c r="B159" s="5"/>
      <c r="D159" s="5"/>
      <c r="E159" s="5"/>
      <c r="F159" s="5"/>
      <c r="G159" s="5"/>
      <c r="H159" s="5"/>
      <c r="I159" s="5"/>
      <c r="J159" s="5"/>
      <c r="K159" s="5"/>
    </row>
    <row r="160" spans="2:11">
      <c r="B160" s="5"/>
      <c r="D160" s="5"/>
      <c r="E160" s="5"/>
      <c r="F160" s="5"/>
      <c r="G160" s="5"/>
      <c r="H160" s="5"/>
      <c r="I160" s="5"/>
      <c r="J160" s="5"/>
      <c r="K160" s="5"/>
    </row>
    <row r="161" spans="2:11">
      <c r="B161" s="5"/>
      <c r="D161" s="5"/>
      <c r="E161" s="5"/>
      <c r="F161" s="5"/>
      <c r="G161" s="5"/>
      <c r="H161" s="5"/>
      <c r="I161" s="5"/>
      <c r="J161" s="5"/>
      <c r="K161" s="5"/>
    </row>
    <row r="162" spans="2:11">
      <c r="B162" s="5"/>
      <c r="D162" s="5"/>
      <c r="E162" s="5"/>
      <c r="F162" s="5"/>
      <c r="G162" s="5"/>
      <c r="H162" s="5"/>
      <c r="I162" s="5"/>
      <c r="J162" s="5"/>
      <c r="K162" s="5"/>
    </row>
    <row r="163" spans="2:11">
      <c r="B163" s="5"/>
      <c r="D163" s="5"/>
      <c r="E163" s="5"/>
      <c r="F163" s="5"/>
      <c r="G163" s="5"/>
      <c r="H163" s="5"/>
      <c r="I163" s="5"/>
      <c r="J163" s="5"/>
      <c r="K163" s="5"/>
    </row>
    <row r="164" spans="2:11">
      <c r="B164" s="5"/>
      <c r="D164" s="5"/>
      <c r="E164" s="5"/>
      <c r="F164" s="5"/>
      <c r="G164" s="5"/>
      <c r="H164" s="5"/>
      <c r="I164" s="5"/>
      <c r="J164" s="5"/>
      <c r="K164" s="5"/>
    </row>
    <row r="165" spans="2:11">
      <c r="B165" s="5"/>
      <c r="D165" s="5"/>
      <c r="E165" s="5"/>
      <c r="F165" s="5"/>
      <c r="G165" s="5"/>
      <c r="H165" s="5"/>
      <c r="I165" s="5"/>
      <c r="J165" s="5"/>
      <c r="K165" s="5"/>
    </row>
    <row r="166" spans="2:11">
      <c r="B166" s="5"/>
      <c r="D166" s="5"/>
      <c r="E166" s="5"/>
      <c r="F166" s="5"/>
      <c r="G166" s="5"/>
      <c r="H166" s="5"/>
      <c r="I166" s="5"/>
      <c r="J166" s="5"/>
      <c r="K166" s="5"/>
    </row>
    <row r="167" spans="2:11">
      <c r="B167" s="5"/>
      <c r="D167" s="5"/>
      <c r="E167" s="5"/>
      <c r="F167" s="5"/>
      <c r="G167" s="5"/>
      <c r="H167" s="5"/>
      <c r="I167" s="5"/>
      <c r="J167" s="5"/>
      <c r="K167" s="5"/>
    </row>
    <row r="168" spans="2:11">
      <c r="B168" s="5"/>
      <c r="D168" s="5"/>
      <c r="E168" s="5"/>
      <c r="F168" s="5"/>
      <c r="G168" s="5"/>
      <c r="H168" s="5"/>
      <c r="I168" s="5"/>
      <c r="J168" s="5"/>
      <c r="K168" s="5"/>
    </row>
    <row r="169" spans="2:11">
      <c r="B169" s="5"/>
      <c r="D169" s="5"/>
      <c r="E169" s="5"/>
      <c r="F169" s="5"/>
      <c r="G169" s="5"/>
      <c r="H169" s="5"/>
      <c r="I169" s="5"/>
      <c r="J169" s="5"/>
      <c r="K169" s="5"/>
    </row>
    <row r="170" spans="2:11">
      <c r="B170" s="5"/>
      <c r="D170" s="5"/>
      <c r="E170" s="5"/>
      <c r="F170" s="5"/>
      <c r="G170" s="5"/>
      <c r="H170" s="5"/>
      <c r="I170" s="5"/>
      <c r="J170" s="5"/>
      <c r="K170" s="5"/>
    </row>
    <row r="171" spans="2:11">
      <c r="B171" s="5"/>
      <c r="D171" s="5"/>
      <c r="E171" s="5"/>
      <c r="F171" s="5"/>
      <c r="G171" s="5"/>
      <c r="H171" s="5"/>
      <c r="I171" s="5"/>
      <c r="J171" s="5"/>
      <c r="K171" s="5"/>
    </row>
    <row r="172" spans="2:11">
      <c r="B172" s="5"/>
      <c r="D172" s="5"/>
      <c r="E172" s="5"/>
      <c r="F172" s="5"/>
      <c r="G172" s="5"/>
      <c r="H172" s="5"/>
      <c r="I172" s="5"/>
      <c r="J172" s="5"/>
      <c r="K172" s="5"/>
    </row>
    <row r="173" spans="2:11">
      <c r="B173" s="5"/>
      <c r="D173" s="5"/>
      <c r="E173" s="5"/>
      <c r="F173" s="5"/>
      <c r="G173" s="5"/>
      <c r="H173" s="5"/>
      <c r="I173" s="5"/>
      <c r="J173" s="5"/>
      <c r="K173" s="5"/>
    </row>
    <row r="174" spans="2:11">
      <c r="B174" s="5"/>
      <c r="D174" s="5"/>
      <c r="E174" s="5"/>
      <c r="F174" s="5"/>
      <c r="G174" s="5"/>
      <c r="H174" s="5"/>
      <c r="I174" s="5"/>
      <c r="J174" s="5"/>
      <c r="K174" s="5"/>
    </row>
    <row r="175" spans="2:11">
      <c r="B175" s="5"/>
      <c r="D175" s="5"/>
      <c r="E175" s="5"/>
      <c r="F175" s="5"/>
      <c r="G175" s="5"/>
      <c r="H175" s="5"/>
      <c r="I175" s="5"/>
      <c r="J175" s="5"/>
      <c r="K175" s="5"/>
    </row>
    <row r="176" spans="2:11">
      <c r="B176" s="5"/>
      <c r="D176" s="5"/>
      <c r="E176" s="5"/>
      <c r="F176" s="5"/>
      <c r="G176" s="5"/>
      <c r="H176" s="5"/>
      <c r="I176" s="5"/>
      <c r="J176" s="5"/>
      <c r="K176" s="5"/>
    </row>
    <row r="177" spans="2:11">
      <c r="B177" s="5"/>
      <c r="D177" s="5"/>
      <c r="E177" s="5"/>
      <c r="F177" s="5"/>
      <c r="G177" s="5"/>
      <c r="H177" s="5"/>
      <c r="I177" s="5"/>
      <c r="J177" s="5"/>
      <c r="K177" s="5"/>
    </row>
    <row r="178" spans="2:11">
      <c r="B178" s="5"/>
      <c r="D178" s="5"/>
      <c r="E178" s="5"/>
      <c r="F178" s="5"/>
      <c r="G178" s="5"/>
      <c r="H178" s="5"/>
      <c r="I178" s="5"/>
      <c r="J178" s="5"/>
      <c r="K178" s="5"/>
    </row>
    <row r="179" spans="2:11">
      <c r="B179" s="5"/>
      <c r="D179" s="5"/>
      <c r="E179" s="5"/>
      <c r="F179" s="5"/>
      <c r="G179" s="5"/>
      <c r="H179" s="5"/>
      <c r="I179" s="5"/>
      <c r="J179" s="5"/>
      <c r="K179" s="5"/>
    </row>
    <row r="180" spans="2:11">
      <c r="B180" s="5"/>
      <c r="D180" s="5"/>
      <c r="E180" s="5"/>
      <c r="F180" s="5"/>
      <c r="G180" s="5"/>
      <c r="H180" s="5"/>
      <c r="I180" s="5"/>
      <c r="J180" s="5"/>
      <c r="K180" s="5"/>
    </row>
    <row r="181" spans="2:11">
      <c r="B181" s="5"/>
      <c r="D181" s="5"/>
      <c r="E181" s="5"/>
      <c r="F181" s="5"/>
      <c r="G181" s="5"/>
      <c r="H181" s="5"/>
      <c r="I181" s="5"/>
      <c r="J181" s="5"/>
      <c r="K181" s="5"/>
    </row>
    <row r="182" spans="2:11">
      <c r="B182" s="5"/>
      <c r="D182" s="5"/>
      <c r="E182" s="5"/>
      <c r="F182" s="5"/>
      <c r="G182" s="5"/>
      <c r="H182" s="5"/>
      <c r="I182" s="5"/>
      <c r="J182" s="5"/>
      <c r="K182" s="5"/>
    </row>
    <row r="183" spans="2:11">
      <c r="B183" s="5"/>
      <c r="D183" s="5"/>
      <c r="E183" s="5"/>
      <c r="F183" s="5"/>
      <c r="G183" s="5"/>
      <c r="H183" s="5"/>
      <c r="I183" s="5"/>
      <c r="J183" s="5"/>
      <c r="K183" s="5"/>
    </row>
  </sheetData>
  <mergeCells count="27">
    <mergeCell ref="G25:H26"/>
    <mergeCell ref="A1:P1"/>
    <mergeCell ref="A2:P2"/>
    <mergeCell ref="A3:P3"/>
    <mergeCell ref="A4:D4"/>
    <mergeCell ref="A5:P5"/>
    <mergeCell ref="B10:D10"/>
    <mergeCell ref="F10:S10"/>
    <mergeCell ref="F11:S11"/>
    <mergeCell ref="E12:R12"/>
    <mergeCell ref="E13:R13"/>
    <mergeCell ref="B78:B84"/>
    <mergeCell ref="B85:B108"/>
    <mergeCell ref="B15:B28"/>
    <mergeCell ref="D15:H15"/>
    <mergeCell ref="D16:H16"/>
    <mergeCell ref="D17:H17"/>
    <mergeCell ref="B45:E45"/>
    <mergeCell ref="B46:B52"/>
    <mergeCell ref="D22:H22"/>
    <mergeCell ref="D23:H23"/>
    <mergeCell ref="D33:H33"/>
    <mergeCell ref="B59:E60"/>
    <mergeCell ref="D34:H34"/>
    <mergeCell ref="B36:E36"/>
    <mergeCell ref="B37:B43"/>
    <mergeCell ref="B65:B76"/>
  </mergeCells>
  <conditionalFormatting sqref="E12:R12">
    <cfRule type="expression" dxfId="15" priority="1">
      <formula>E11="SI SE REPORTA"</formula>
    </cfRule>
  </conditionalFormatting>
  <conditionalFormatting sqref="F10">
    <cfRule type="notContainsBlanks" dxfId="14" priority="4">
      <formula>LEN(TRIM(F10))&gt;0</formula>
    </cfRule>
  </conditionalFormatting>
  <conditionalFormatting sqref="F11:S11">
    <cfRule type="expression" dxfId="13" priority="2">
      <formula>E11="NO SE REPORTA"</formula>
    </cfRule>
    <cfRule type="expression" dxfId="12" priority="3">
      <formula>E10="NO APLICA"</formula>
    </cfRule>
  </conditionalFormatting>
  <dataValidations count="4">
    <dataValidation type="whole" operator="greaterThanOrEqual" allowBlank="1" showErrorMessage="1" errorTitle="ERROR" error="Escriba un número igual o mayor que 0" promptTitle="ERROR" prompt="Escriba un número igual o mayor que 0" sqref="E19:G20 E25:F26" xr:uid="{1BEF047A-95BD-475C-B6EB-D7EF98B5910A}">
      <formula1>0</formula1>
    </dataValidation>
    <dataValidation allowBlank="1" showInputMessage="1" showErrorMessage="1" promptTitle="OJO" prompt="NO TOCAR" sqref="E21:G21 E27:F27" xr:uid="{E8645021-1C1C-4773-9419-81FF40DACC0A}"/>
    <dataValidation type="list" allowBlank="1" showInputMessage="1" showErrorMessage="1" sqref="E11" xr:uid="{17959E1A-3605-4A8A-84C9-B3679CAEBE6B}">
      <formula1>REPORTE</formula1>
    </dataValidation>
    <dataValidation type="list" allowBlank="1" showInputMessage="1" showErrorMessage="1" sqref="E10" xr:uid="{5A5006D7-EF0F-462A-8BBB-2C8180455AB5}">
      <formula1>SI</formula1>
    </dataValidation>
  </dataValidations>
  <hyperlinks>
    <hyperlink ref="D75" r:id="rId1" display="http://www.sisaire.gov.co/" xr:uid="{7BFB66E4-105F-4D31-903B-BB7EE27B6A76}"/>
    <hyperlink ref="D76" r:id="rId2" display="http://www.sirh.ideam.gov.co/" xr:uid="{33212318-6FA3-43C5-8882-A42968F8A39A}"/>
    <hyperlink ref="B9" location="'ANEXO 3'!A1" display="VOLVER AL INDICE" xr:uid="{78941A89-7A6B-4B2E-AB15-4C4913226B60}"/>
    <hyperlink ref="E41" r:id="rId3" xr:uid="{D0F717B8-C1B0-4D64-88C9-CF2BAF33743C}"/>
  </hyperlinks>
  <pageMargins left="0.25" right="0.25" top="0.75" bottom="0.75" header="0.3" footer="0.3"/>
  <pageSetup paperSize="178" orientation="landscape" horizontalDpi="1200" verticalDpi="1200" r:id="rId4"/>
  <drawing r:id="rId5"/>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7"/>
  <dimension ref="A1:S164"/>
  <sheetViews>
    <sheetView showGridLines="0" topLeftCell="D64" zoomScale="80" zoomScaleNormal="80" workbookViewId="0">
      <selection activeCell="K62" sqref="K62"/>
    </sheetView>
  </sheetViews>
  <sheetFormatPr baseColWidth="10" defaultColWidth="11.44140625" defaultRowHeight="14.4"/>
  <cols>
    <col min="1" max="1" width="1.88671875" style="316" customWidth="1"/>
    <col min="2" max="2" width="11.109375" style="316" customWidth="1"/>
    <col min="3" max="3" width="7.6640625" style="476" customWidth="1"/>
    <col min="4" max="4" width="40" style="316" customWidth="1"/>
    <col min="5" max="5" width="16.33203125" style="316" customWidth="1"/>
    <col min="6" max="6" width="14.88671875" style="316" customWidth="1"/>
    <col min="7" max="7" width="18.109375" style="316" customWidth="1"/>
    <col min="8" max="8" width="17.109375" style="316" customWidth="1"/>
    <col min="9" max="9" width="16" style="316" customWidth="1"/>
    <col min="10" max="10" width="15.44140625" style="316" customWidth="1"/>
    <col min="11" max="11" width="88.88671875" style="688" customWidth="1"/>
    <col min="12" max="16384" width="11.44140625" style="316"/>
  </cols>
  <sheetData>
    <row r="1" spans="1:19" s="314" customFormat="1" ht="100.5" customHeight="1" thickBot="1">
      <c r="A1" s="1421"/>
      <c r="B1" s="1422"/>
      <c r="C1" s="1422"/>
      <c r="D1" s="1422"/>
      <c r="E1" s="1422"/>
      <c r="F1" s="1422"/>
      <c r="G1" s="1422"/>
      <c r="H1" s="1422"/>
      <c r="I1" s="1422"/>
      <c r="J1" s="1422"/>
      <c r="K1" s="1422"/>
      <c r="L1" s="1422"/>
      <c r="M1" s="1422"/>
      <c r="N1" s="1422"/>
      <c r="O1" s="1422"/>
      <c r="P1" s="1423"/>
      <c r="Q1" s="316"/>
      <c r="R1" s="316"/>
    </row>
    <row r="2" spans="1:19" s="315" customFormat="1" ht="16.2" thickBot="1">
      <c r="A2" s="1418" t="str">
        <f>'[10]Datos Generales'!C5</f>
        <v>Corporación Autónoma Regional del Atlántico – CRA</v>
      </c>
      <c r="B2" s="1419"/>
      <c r="C2" s="1419"/>
      <c r="D2" s="1419"/>
      <c r="E2" s="1419"/>
      <c r="F2" s="1419"/>
      <c r="G2" s="1419"/>
      <c r="H2" s="1419"/>
      <c r="I2" s="1419"/>
      <c r="J2" s="1419"/>
      <c r="K2" s="1419"/>
      <c r="L2" s="1419"/>
      <c r="M2" s="1419"/>
      <c r="N2" s="1419"/>
      <c r="O2" s="1419"/>
      <c r="P2" s="1420"/>
      <c r="Q2" s="316"/>
      <c r="R2" s="316"/>
    </row>
    <row r="3" spans="1:19" s="315" customFormat="1" ht="16.2" thickBot="1">
      <c r="A3" s="1426" t="s">
        <v>1295</v>
      </c>
      <c r="B3" s="1427"/>
      <c r="C3" s="1427"/>
      <c r="D3" s="1427"/>
      <c r="E3" s="1427"/>
      <c r="F3" s="1427"/>
      <c r="G3" s="1427"/>
      <c r="H3" s="1427"/>
      <c r="I3" s="1427"/>
      <c r="J3" s="1427"/>
      <c r="K3" s="1427"/>
      <c r="L3" s="1427"/>
      <c r="M3" s="1427"/>
      <c r="N3" s="1427"/>
      <c r="O3" s="1427"/>
      <c r="P3" s="1428"/>
      <c r="Q3" s="316"/>
      <c r="R3" s="316"/>
    </row>
    <row r="4" spans="1:19" s="315" customFormat="1" ht="16.2" thickBot="1">
      <c r="A4" s="1424" t="s">
        <v>1294</v>
      </c>
      <c r="B4" s="1425"/>
      <c r="C4" s="1425"/>
      <c r="D4" s="1425"/>
      <c r="E4" s="322" t="str">
        <f>+'Datos Generales'!C6</f>
        <v>2023-II</v>
      </c>
      <c r="F4" s="322"/>
      <c r="G4" s="322"/>
      <c r="H4" s="322"/>
      <c r="I4" s="322"/>
      <c r="J4" s="322"/>
      <c r="K4" s="687"/>
      <c r="L4" s="323"/>
      <c r="M4" s="323"/>
      <c r="N4" s="323"/>
      <c r="O4" s="323"/>
      <c r="P4" s="324"/>
      <c r="Q4" s="316"/>
      <c r="R4" s="316"/>
    </row>
    <row r="5" spans="1:19" ht="16.5" customHeight="1" thickBot="1">
      <c r="A5" s="1426" t="s">
        <v>1109</v>
      </c>
      <c r="B5" s="1427"/>
      <c r="C5" s="1427"/>
      <c r="D5" s="1427"/>
      <c r="E5" s="1427"/>
      <c r="F5" s="1427"/>
      <c r="G5" s="1427"/>
      <c r="H5" s="1427"/>
      <c r="I5" s="1427"/>
      <c r="J5" s="1427"/>
      <c r="K5" s="1427"/>
      <c r="L5" s="1427"/>
      <c r="M5" s="1427"/>
      <c r="N5" s="1427"/>
      <c r="O5" s="1427"/>
      <c r="P5" s="1428"/>
    </row>
    <row r="6" spans="1:19">
      <c r="B6" s="467" t="s">
        <v>1</v>
      </c>
      <c r="C6" s="468"/>
      <c r="E6" s="469"/>
      <c r="F6" s="316" t="s">
        <v>127</v>
      </c>
    </row>
    <row r="7" spans="1:19" ht="15" thickBot="1">
      <c r="B7" s="470"/>
      <c r="C7" s="645"/>
      <c r="E7" s="471"/>
      <c r="F7" s="316" t="s">
        <v>128</v>
      </c>
    </row>
    <row r="8" spans="1:19" ht="15" thickBot="1">
      <c r="B8" s="646" t="s">
        <v>1180</v>
      </c>
      <c r="C8" s="647">
        <v>2023</v>
      </c>
      <c r="D8" s="648">
        <f>IF(E10="NO APLICA","NO APLICA",IF(E11="NO SE REPORTA","SIN INFORMACION",+E82))</f>
        <v>1.0000000000000002</v>
      </c>
      <c r="E8" s="474"/>
      <c r="F8" s="316" t="s">
        <v>129</v>
      </c>
    </row>
    <row r="9" spans="1:19">
      <c r="B9" s="649" t="s">
        <v>1181</v>
      </c>
      <c r="C9" s="480"/>
    </row>
    <row r="10" spans="1:19">
      <c r="B10" s="1516" t="s">
        <v>1236</v>
      </c>
      <c r="C10" s="1516"/>
      <c r="D10" s="1516"/>
      <c r="E10" s="478" t="s">
        <v>1233</v>
      </c>
      <c r="F10" s="1785"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786"/>
      <c r="H10" s="1786"/>
      <c r="I10" s="1786"/>
      <c r="J10" s="1786"/>
      <c r="K10" s="1786"/>
      <c r="L10" s="1786"/>
      <c r="M10" s="1786"/>
      <c r="N10" s="1786"/>
      <c r="O10" s="1786"/>
      <c r="P10" s="1786"/>
      <c r="Q10" s="1786"/>
      <c r="R10" s="1786"/>
      <c r="S10" s="1786"/>
    </row>
    <row r="11" spans="1:19" ht="14.4" customHeight="1">
      <c r="B11" s="650"/>
      <c r="C11" s="480"/>
      <c r="D11" s="472" t="str">
        <f>IF(E10="SI APLICA","¿El indicador no se reporta por limitaciones de información disponible? ","")</f>
        <v xml:space="preserve">¿El indicador no se reporta por limitaciones de información disponible? </v>
      </c>
      <c r="E11" s="481" t="s">
        <v>1235</v>
      </c>
      <c r="F11" s="1520"/>
      <c r="G11" s="1521"/>
      <c r="H11" s="1521"/>
      <c r="I11" s="1521"/>
      <c r="J11" s="1521"/>
      <c r="K11" s="1521"/>
      <c r="L11" s="1521"/>
      <c r="M11" s="1521"/>
      <c r="N11" s="1521"/>
      <c r="O11" s="1521"/>
      <c r="P11" s="1521"/>
      <c r="Q11" s="1521"/>
      <c r="R11" s="1521"/>
      <c r="S11" s="1521"/>
    </row>
    <row r="12" spans="1:19" ht="46.5" customHeight="1">
      <c r="B12" s="649"/>
      <c r="C12" s="480"/>
      <c r="D12" s="472" t="str">
        <f>IF(E11="SI SE REPORTA","¿Qué programas o proyectos del Plan de Acción están asociados al indicador? ","")</f>
        <v xml:space="preserve">¿Qué programas o proyectos del Plan de Acción están asociados al indicador? </v>
      </c>
      <c r="E12" s="1560" t="s">
        <v>1920</v>
      </c>
      <c r="F12" s="1560"/>
      <c r="G12" s="1560"/>
      <c r="H12" s="1560"/>
      <c r="I12" s="1560"/>
      <c r="J12" s="1560"/>
      <c r="K12" s="1560"/>
      <c r="L12" s="1560"/>
      <c r="M12" s="1560"/>
      <c r="N12" s="1560"/>
      <c r="O12" s="1560"/>
      <c r="P12" s="1560"/>
      <c r="Q12" s="1560"/>
      <c r="R12" s="1560"/>
    </row>
    <row r="13" spans="1:19" ht="21.9" customHeight="1">
      <c r="B13" s="649"/>
      <c r="C13" s="480"/>
      <c r="D13" s="472" t="s">
        <v>1238</v>
      </c>
      <c r="E13" s="1596"/>
      <c r="F13" s="1597"/>
      <c r="G13" s="1597"/>
      <c r="H13" s="1597"/>
      <c r="I13" s="1597"/>
      <c r="J13" s="1597"/>
      <c r="K13" s="1597"/>
      <c r="L13" s="1597"/>
      <c r="M13" s="1597"/>
      <c r="N13" s="1597"/>
      <c r="O13" s="1597"/>
      <c r="P13" s="1597"/>
      <c r="Q13" s="1597"/>
      <c r="R13" s="1598"/>
    </row>
    <row r="14" spans="1:19" ht="6.9" customHeight="1" thickBot="1">
      <c r="B14" s="649"/>
      <c r="C14" s="480"/>
    </row>
    <row r="15" spans="1:19" ht="15" thickBot="1">
      <c r="B15" s="1489" t="s">
        <v>2</v>
      </c>
      <c r="C15" s="482"/>
      <c r="D15" s="1495" t="s">
        <v>335</v>
      </c>
      <c r="E15" s="1496"/>
      <c r="F15" s="1496"/>
      <c r="G15" s="1496"/>
      <c r="H15" s="1496"/>
      <c r="I15" s="1496"/>
      <c r="J15" s="1496"/>
      <c r="K15" s="1497"/>
      <c r="L15" s="456"/>
      <c r="M15" s="456"/>
      <c r="N15" s="456"/>
      <c r="O15" s="456"/>
      <c r="P15" s="456"/>
      <c r="Q15" s="456"/>
      <c r="R15" s="456"/>
    </row>
    <row r="16" spans="1:19" ht="21.75" customHeight="1" thickBot="1">
      <c r="B16" s="1490"/>
      <c r="C16" s="537" t="s">
        <v>18</v>
      </c>
      <c r="D16" s="603" t="s">
        <v>252</v>
      </c>
      <c r="E16" s="897" t="s">
        <v>19</v>
      </c>
      <c r="F16" s="897" t="s">
        <v>20</v>
      </c>
      <c r="G16" s="897" t="s">
        <v>21</v>
      </c>
      <c r="H16" s="897" t="s">
        <v>22</v>
      </c>
      <c r="I16" s="897" t="s">
        <v>253</v>
      </c>
      <c r="K16" s="689"/>
      <c r="L16" s="456"/>
      <c r="M16" s="456"/>
      <c r="N16" s="456"/>
      <c r="O16" s="456"/>
      <c r="P16" s="456"/>
      <c r="Q16" s="456"/>
      <c r="R16" s="456"/>
    </row>
    <row r="17" spans="2:18" ht="24.6" thickBot="1">
      <c r="B17" s="1490"/>
      <c r="C17" s="557" t="s">
        <v>151</v>
      </c>
      <c r="D17" s="486" t="s">
        <v>1137</v>
      </c>
      <c r="E17" s="512">
        <v>44</v>
      </c>
      <c r="F17" s="512">
        <v>167</v>
      </c>
      <c r="G17" s="512">
        <v>136</v>
      </c>
      <c r="H17" s="512">
        <v>64</v>
      </c>
      <c r="I17" s="523">
        <v>411</v>
      </c>
      <c r="J17" s="651"/>
      <c r="K17" s="689"/>
      <c r="L17" s="456"/>
      <c r="M17" s="456"/>
      <c r="N17" s="456"/>
      <c r="O17" s="456"/>
      <c r="P17" s="456"/>
      <c r="Q17" s="456"/>
      <c r="R17" s="456"/>
    </row>
    <row r="18" spans="2:18" ht="27.75" customHeight="1" thickBot="1">
      <c r="B18" s="1490"/>
      <c r="C18" s="557" t="s">
        <v>153</v>
      </c>
      <c r="D18" s="486" t="s">
        <v>762</v>
      </c>
      <c r="E18" s="540">
        <v>3280000000</v>
      </c>
      <c r="F18" s="540">
        <v>4385000000</v>
      </c>
      <c r="G18" s="540">
        <v>7740000000</v>
      </c>
      <c r="H18" s="540">
        <v>4625000000</v>
      </c>
      <c r="I18" s="564">
        <f>SUM(E18:H18)</f>
        <v>20030000000</v>
      </c>
      <c r="K18" s="689"/>
      <c r="L18" s="456"/>
      <c r="M18" s="456"/>
      <c r="N18" s="456"/>
      <c r="O18" s="456"/>
      <c r="P18" s="456"/>
      <c r="Q18" s="456"/>
      <c r="R18" s="456"/>
    </row>
    <row r="19" spans="2:18" ht="27" customHeight="1" thickBot="1">
      <c r="B19" s="1490"/>
      <c r="C19" s="557" t="s">
        <v>155</v>
      </c>
      <c r="D19" s="486" t="s">
        <v>819</v>
      </c>
      <c r="E19" s="540">
        <v>3280000000</v>
      </c>
      <c r="F19" s="540">
        <v>4385000000</v>
      </c>
      <c r="G19" s="540">
        <v>7740000000</v>
      </c>
      <c r="H19" s="540">
        <v>4625000000</v>
      </c>
      <c r="I19" s="564">
        <f>SUM(E19:H19)</f>
        <v>20030000000</v>
      </c>
      <c r="K19" s="689"/>
      <c r="L19" s="456"/>
      <c r="M19" s="456"/>
      <c r="N19" s="456"/>
      <c r="O19" s="456"/>
      <c r="P19" s="456"/>
      <c r="Q19" s="456"/>
      <c r="R19" s="456"/>
    </row>
    <row r="20" spans="2:18">
      <c r="B20" s="1490"/>
      <c r="C20" s="487"/>
      <c r="D20" s="1507"/>
      <c r="E20" s="1508"/>
      <c r="F20" s="1508"/>
      <c r="G20" s="1508"/>
      <c r="H20" s="1508"/>
      <c r="I20" s="1508"/>
      <c r="J20" s="1508"/>
      <c r="K20" s="1509"/>
      <c r="L20" s="456"/>
      <c r="M20" s="456"/>
      <c r="N20" s="456"/>
      <c r="O20" s="456"/>
      <c r="P20" s="456"/>
      <c r="Q20" s="456"/>
      <c r="R20" s="456"/>
    </row>
    <row r="21" spans="2:18" ht="15" thickBot="1">
      <c r="B21" s="1490"/>
      <c r="C21" s="487"/>
      <c r="D21" s="1498" t="s">
        <v>1138</v>
      </c>
      <c r="E21" s="1499"/>
      <c r="F21" s="1499"/>
      <c r="G21" s="1499"/>
      <c r="H21" s="1499"/>
      <c r="I21" s="1499"/>
      <c r="J21" s="1499"/>
      <c r="K21" s="1500"/>
      <c r="L21" s="456"/>
      <c r="M21" s="456"/>
      <c r="N21" s="456"/>
      <c r="O21" s="456"/>
      <c r="P21" s="456"/>
      <c r="Q21" s="456"/>
      <c r="R21" s="456"/>
    </row>
    <row r="22" spans="2:18" ht="23.25" customHeight="1" thickBot="1">
      <c r="B22" s="1490"/>
      <c r="C22" s="1670" t="s">
        <v>18</v>
      </c>
      <c r="D22" s="1760" t="s">
        <v>269</v>
      </c>
      <c r="E22" s="1762" t="s">
        <v>619</v>
      </c>
      <c r="F22" s="1763"/>
      <c r="G22" s="1762" t="s">
        <v>687</v>
      </c>
      <c r="H22" s="1764"/>
      <c r="I22" s="1764"/>
      <c r="J22" s="1763"/>
      <c r="K22" s="894"/>
      <c r="L22" s="456"/>
      <c r="M22" s="456"/>
      <c r="N22" s="456"/>
      <c r="O22" s="456"/>
      <c r="P22" s="456"/>
      <c r="Q22" s="456"/>
      <c r="R22" s="456"/>
    </row>
    <row r="23" spans="2:18" ht="33.75" customHeight="1" thickBot="1">
      <c r="B23" s="1490"/>
      <c r="C23" s="1671"/>
      <c r="D23" s="1761"/>
      <c r="E23" s="893" t="s">
        <v>620</v>
      </c>
      <c r="F23" s="895" t="s">
        <v>621</v>
      </c>
      <c r="G23" s="895" t="s">
        <v>762</v>
      </c>
      <c r="H23" s="895" t="s">
        <v>343</v>
      </c>
      <c r="I23" s="895" t="s">
        <v>273</v>
      </c>
      <c r="J23" s="895" t="s">
        <v>274</v>
      </c>
      <c r="K23" s="896" t="s">
        <v>54</v>
      </c>
      <c r="L23" s="651"/>
      <c r="M23" s="456"/>
      <c r="N23" s="456"/>
      <c r="O23" s="456"/>
      <c r="P23" s="456"/>
      <c r="Q23" s="456"/>
      <c r="R23" s="456"/>
    </row>
    <row r="24" spans="2:18" ht="36.6" thickBot="1">
      <c r="B24" s="1490"/>
      <c r="C24" s="652">
        <v>1</v>
      </c>
      <c r="D24" s="639" t="s">
        <v>1895</v>
      </c>
      <c r="E24" s="833">
        <v>0</v>
      </c>
      <c r="F24" s="834">
        <v>0</v>
      </c>
      <c r="G24" s="835"/>
      <c r="H24" s="836"/>
      <c r="I24" s="836"/>
      <c r="J24" s="837"/>
      <c r="K24" s="817" t="s">
        <v>2008</v>
      </c>
      <c r="L24" s="456"/>
      <c r="M24" s="456"/>
      <c r="N24" s="456"/>
      <c r="O24" s="456"/>
      <c r="P24" s="456"/>
      <c r="Q24" s="456"/>
      <c r="R24" s="456"/>
    </row>
    <row r="25" spans="2:18" ht="63.75" customHeight="1" thickBot="1">
      <c r="B25" s="1490"/>
      <c r="C25" s="644">
        <v>2</v>
      </c>
      <c r="D25" s="639" t="s">
        <v>1896</v>
      </c>
      <c r="E25" s="838">
        <v>1</v>
      </c>
      <c r="F25" s="826">
        <v>1</v>
      </c>
      <c r="G25" s="871">
        <v>80000000</v>
      </c>
      <c r="H25" s="871">
        <v>80000000</v>
      </c>
      <c r="I25" s="871">
        <v>80000000</v>
      </c>
      <c r="J25" s="872">
        <v>8000000</v>
      </c>
      <c r="K25" s="818" t="s">
        <v>2009</v>
      </c>
      <c r="L25" s="456"/>
      <c r="M25" s="456"/>
      <c r="N25" s="456"/>
      <c r="O25" s="456" t="s">
        <v>876</v>
      </c>
      <c r="P25" s="456"/>
      <c r="Q25" s="456"/>
      <c r="R25" s="456"/>
    </row>
    <row r="26" spans="2:18" ht="121.5" customHeight="1" thickBot="1">
      <c r="B26" s="1490"/>
      <c r="C26" s="644">
        <v>3</v>
      </c>
      <c r="D26" s="639" t="s">
        <v>1897</v>
      </c>
      <c r="E26" s="838">
        <v>1</v>
      </c>
      <c r="F26" s="826">
        <v>1</v>
      </c>
      <c r="G26" s="871">
        <v>100000000</v>
      </c>
      <c r="H26" s="871">
        <v>100000000</v>
      </c>
      <c r="I26" s="871">
        <v>100000000</v>
      </c>
      <c r="J26" s="872">
        <v>35000000</v>
      </c>
      <c r="K26" s="818" t="s">
        <v>2010</v>
      </c>
      <c r="L26" s="456"/>
      <c r="M26" s="456"/>
      <c r="N26" s="456"/>
      <c r="O26" s="456"/>
      <c r="P26" s="456"/>
      <c r="Q26" s="456"/>
      <c r="R26" s="456"/>
    </row>
    <row r="27" spans="2:18" ht="102.75" customHeight="1" thickBot="1">
      <c r="B27" s="1490"/>
      <c r="C27" s="644">
        <v>4</v>
      </c>
      <c r="D27" s="730" t="s">
        <v>1943</v>
      </c>
      <c r="E27" s="838">
        <v>1</v>
      </c>
      <c r="F27" s="827">
        <v>1</v>
      </c>
      <c r="G27" s="873">
        <v>450000000</v>
      </c>
      <c r="H27" s="873">
        <v>450000000</v>
      </c>
      <c r="I27" s="873">
        <v>450000000</v>
      </c>
      <c r="J27" s="874">
        <v>322709893</v>
      </c>
      <c r="K27" s="818" t="s">
        <v>2011</v>
      </c>
      <c r="L27" s="456"/>
      <c r="M27" s="456"/>
      <c r="N27" s="456"/>
      <c r="O27" s="456"/>
      <c r="P27" s="456"/>
      <c r="Q27" s="456"/>
      <c r="R27" s="456"/>
    </row>
    <row r="28" spans="2:18" ht="83.25" customHeight="1" thickBot="1">
      <c r="B28" s="1490"/>
      <c r="C28" s="644">
        <v>5</v>
      </c>
      <c r="D28" s="811" t="s">
        <v>1898</v>
      </c>
      <c r="E28" s="838">
        <v>1</v>
      </c>
      <c r="F28" s="827">
        <v>1</v>
      </c>
      <c r="G28" s="873">
        <v>150000000</v>
      </c>
      <c r="H28" s="873">
        <v>150000000</v>
      </c>
      <c r="I28" s="873">
        <v>150000000</v>
      </c>
      <c r="J28" s="874">
        <v>15000000</v>
      </c>
      <c r="K28" s="818" t="s">
        <v>2012</v>
      </c>
      <c r="L28" s="456"/>
      <c r="M28" s="456"/>
      <c r="N28" s="456"/>
      <c r="O28" s="456"/>
      <c r="P28" s="456"/>
      <c r="Q28" s="456"/>
      <c r="R28" s="456"/>
    </row>
    <row r="29" spans="2:18" ht="126.75" customHeight="1" thickBot="1">
      <c r="B29" s="1490"/>
      <c r="C29" s="644">
        <v>6</v>
      </c>
      <c r="D29" s="811" t="s">
        <v>1899</v>
      </c>
      <c r="E29" s="838">
        <v>1</v>
      </c>
      <c r="F29" s="827">
        <v>1</v>
      </c>
      <c r="G29" s="873">
        <v>100000000</v>
      </c>
      <c r="H29" s="873">
        <v>100000000</v>
      </c>
      <c r="I29" s="873">
        <v>100000000</v>
      </c>
      <c r="J29" s="874">
        <v>10000000</v>
      </c>
      <c r="K29" s="818" t="s">
        <v>2013</v>
      </c>
      <c r="L29" s="456"/>
      <c r="M29" s="456"/>
      <c r="N29" s="456"/>
      <c r="O29" s="456"/>
      <c r="P29" s="456"/>
      <c r="Q29" s="456"/>
      <c r="R29" s="456"/>
    </row>
    <row r="30" spans="2:18" ht="57.75" customHeight="1" thickBot="1">
      <c r="B30" s="1490"/>
      <c r="C30" s="644">
        <v>7</v>
      </c>
      <c r="D30" s="812" t="s">
        <v>1900</v>
      </c>
      <c r="E30" s="838">
        <v>1</v>
      </c>
      <c r="F30" s="827">
        <v>1</v>
      </c>
      <c r="G30" s="873"/>
      <c r="H30" s="873"/>
      <c r="I30" s="873"/>
      <c r="J30" s="874"/>
      <c r="K30" s="819" t="s">
        <v>2008</v>
      </c>
      <c r="L30" s="456"/>
      <c r="M30" s="456"/>
      <c r="N30" s="456"/>
      <c r="O30" s="456"/>
      <c r="P30" s="456"/>
      <c r="Q30" s="456"/>
      <c r="R30" s="456"/>
    </row>
    <row r="31" spans="2:18" ht="60.75" customHeight="1" thickBot="1">
      <c r="B31" s="1490"/>
      <c r="C31" s="644">
        <v>8</v>
      </c>
      <c r="D31" s="813" t="s">
        <v>1941</v>
      </c>
      <c r="E31" s="838">
        <v>1</v>
      </c>
      <c r="F31" s="827">
        <v>1</v>
      </c>
      <c r="G31" s="875"/>
      <c r="H31" s="876"/>
      <c r="I31" s="876"/>
      <c r="J31" s="877"/>
      <c r="K31" s="819" t="s">
        <v>2008</v>
      </c>
      <c r="L31" s="456"/>
      <c r="M31" s="456"/>
      <c r="N31" s="456"/>
      <c r="O31" s="456"/>
      <c r="P31" s="456"/>
      <c r="Q31" s="456"/>
      <c r="R31" s="456"/>
    </row>
    <row r="32" spans="2:18" ht="101.25" customHeight="1" thickBot="1">
      <c r="B32" s="1490"/>
      <c r="C32" s="644">
        <v>9</v>
      </c>
      <c r="D32" s="814" t="s">
        <v>1901</v>
      </c>
      <c r="E32" s="838">
        <v>1</v>
      </c>
      <c r="F32" s="826">
        <v>1</v>
      </c>
      <c r="G32" s="871">
        <v>440000000</v>
      </c>
      <c r="H32" s="871">
        <v>440000000</v>
      </c>
      <c r="I32" s="871">
        <v>440000000</v>
      </c>
      <c r="J32" s="878">
        <v>262112867</v>
      </c>
      <c r="K32" s="818" t="s">
        <v>2014</v>
      </c>
      <c r="L32" s="456"/>
      <c r="M32" s="456"/>
      <c r="N32" s="456"/>
      <c r="O32" s="456"/>
      <c r="P32" s="456"/>
      <c r="Q32" s="456"/>
      <c r="R32" s="456"/>
    </row>
    <row r="33" spans="2:18" ht="48.6" thickBot="1">
      <c r="B33" s="1490"/>
      <c r="C33" s="644">
        <v>10</v>
      </c>
      <c r="D33" s="815" t="s">
        <v>1942</v>
      </c>
      <c r="E33" s="838">
        <v>1</v>
      </c>
      <c r="F33" s="828">
        <v>1</v>
      </c>
      <c r="G33" s="879"/>
      <c r="H33" s="880"/>
      <c r="I33" s="880"/>
      <c r="J33" s="881"/>
      <c r="K33" s="820" t="s">
        <v>2008</v>
      </c>
      <c r="L33" s="456"/>
      <c r="M33" s="456"/>
      <c r="N33" s="456"/>
      <c r="O33" s="456"/>
      <c r="P33" s="456"/>
      <c r="Q33" s="456"/>
      <c r="R33" s="456"/>
    </row>
    <row r="34" spans="2:18" ht="134.25" customHeight="1" thickBot="1">
      <c r="B34" s="1490"/>
      <c r="C34" s="644">
        <v>11</v>
      </c>
      <c r="D34" s="729" t="s">
        <v>1902</v>
      </c>
      <c r="E34" s="839">
        <v>1</v>
      </c>
      <c r="F34" s="829">
        <v>1</v>
      </c>
      <c r="G34" s="882">
        <v>250000000</v>
      </c>
      <c r="H34" s="882">
        <v>250000000</v>
      </c>
      <c r="I34" s="882">
        <v>250000000</v>
      </c>
      <c r="J34" s="883">
        <v>69137859</v>
      </c>
      <c r="K34" s="821" t="s">
        <v>2015</v>
      </c>
      <c r="L34" s="456"/>
      <c r="M34" s="456"/>
      <c r="N34" s="456"/>
      <c r="O34" s="456"/>
      <c r="P34" s="456"/>
      <c r="Q34" s="456"/>
      <c r="R34" s="456"/>
    </row>
    <row r="35" spans="2:18" ht="49.5" customHeight="1" thickBot="1">
      <c r="B35" s="1490"/>
      <c r="C35" s="644">
        <v>12</v>
      </c>
      <c r="D35" s="729" t="s">
        <v>1903</v>
      </c>
      <c r="E35" s="840">
        <v>1</v>
      </c>
      <c r="F35" s="828">
        <v>1</v>
      </c>
      <c r="G35" s="830"/>
      <c r="H35" s="831"/>
      <c r="I35" s="831"/>
      <c r="J35" s="841"/>
      <c r="K35" s="820" t="s">
        <v>2008</v>
      </c>
      <c r="L35" s="456"/>
      <c r="M35" s="456"/>
      <c r="N35" s="456"/>
      <c r="O35" s="456"/>
      <c r="P35" s="456"/>
      <c r="Q35" s="456"/>
      <c r="R35" s="456"/>
    </row>
    <row r="36" spans="2:18" ht="82.2" thickBot="1">
      <c r="B36" s="1490"/>
      <c r="C36" s="644">
        <v>13</v>
      </c>
      <c r="D36" s="816" t="s">
        <v>1904</v>
      </c>
      <c r="E36" s="840">
        <v>1</v>
      </c>
      <c r="F36" s="828">
        <v>1</v>
      </c>
      <c r="G36" s="887">
        <v>400000000</v>
      </c>
      <c r="H36" s="887">
        <v>400000000</v>
      </c>
      <c r="I36" s="887">
        <v>400000000</v>
      </c>
      <c r="J36" s="877">
        <v>400000000</v>
      </c>
      <c r="K36" s="818" t="s">
        <v>2016</v>
      </c>
      <c r="L36" s="456"/>
      <c r="M36" s="456"/>
      <c r="N36" s="456"/>
      <c r="O36" s="456"/>
      <c r="P36" s="456"/>
      <c r="Q36" s="456"/>
      <c r="R36" s="456"/>
    </row>
    <row r="37" spans="2:18" ht="90" customHeight="1" thickBot="1">
      <c r="B37" s="1490"/>
      <c r="C37" s="644">
        <v>14</v>
      </c>
      <c r="D37" s="812" t="s">
        <v>1905</v>
      </c>
      <c r="E37" s="838">
        <v>1</v>
      </c>
      <c r="F37" s="828">
        <v>1</v>
      </c>
      <c r="G37" s="888">
        <v>80000000</v>
      </c>
      <c r="H37" s="888">
        <v>80000000</v>
      </c>
      <c r="I37" s="888">
        <v>80000000</v>
      </c>
      <c r="J37" s="877">
        <v>53283202</v>
      </c>
      <c r="K37" s="818" t="s">
        <v>2017</v>
      </c>
      <c r="L37" s="456"/>
      <c r="M37" s="456"/>
      <c r="N37" s="456"/>
      <c r="O37" s="456"/>
      <c r="P37" s="456"/>
      <c r="Q37" s="456"/>
      <c r="R37" s="456"/>
    </row>
    <row r="38" spans="2:18" ht="84.75" customHeight="1" thickBot="1">
      <c r="B38" s="1490"/>
      <c r="C38" s="644">
        <v>15</v>
      </c>
      <c r="D38" s="811" t="s">
        <v>1906</v>
      </c>
      <c r="E38" s="838">
        <v>1</v>
      </c>
      <c r="F38" s="828">
        <v>1</v>
      </c>
      <c r="G38" s="873">
        <v>200000000</v>
      </c>
      <c r="H38" s="873">
        <v>200000000</v>
      </c>
      <c r="I38" s="873">
        <v>200000000</v>
      </c>
      <c r="J38" s="890">
        <v>34510287</v>
      </c>
      <c r="K38" s="818" t="s">
        <v>2018</v>
      </c>
      <c r="L38" s="456"/>
      <c r="M38" s="456"/>
      <c r="N38" s="456"/>
      <c r="O38" s="456"/>
      <c r="P38" s="456"/>
      <c r="Q38" s="456"/>
      <c r="R38" s="456"/>
    </row>
    <row r="39" spans="2:18" ht="102" customHeight="1" thickBot="1">
      <c r="B39" s="1490"/>
      <c r="C39" s="644">
        <v>16</v>
      </c>
      <c r="D39" s="727" t="s">
        <v>1907</v>
      </c>
      <c r="E39" s="838">
        <v>1</v>
      </c>
      <c r="F39" s="828">
        <v>1</v>
      </c>
      <c r="G39" s="882">
        <v>50000000</v>
      </c>
      <c r="H39" s="882">
        <v>50000000</v>
      </c>
      <c r="I39" s="882">
        <v>50000000</v>
      </c>
      <c r="J39" s="882">
        <v>50000000</v>
      </c>
      <c r="K39" s="818" t="s">
        <v>2019</v>
      </c>
      <c r="L39" s="456"/>
      <c r="M39" s="456"/>
      <c r="N39" s="456"/>
      <c r="O39" s="456"/>
      <c r="P39" s="456"/>
      <c r="Q39" s="456"/>
      <c r="R39" s="456"/>
    </row>
    <row r="40" spans="2:18" ht="143.4" thickBot="1">
      <c r="B40" s="1490"/>
      <c r="C40" s="644">
        <v>17</v>
      </c>
      <c r="D40" s="728" t="s">
        <v>1908</v>
      </c>
      <c r="E40" s="838">
        <v>1</v>
      </c>
      <c r="F40" s="828">
        <v>1</v>
      </c>
      <c r="G40" s="882">
        <v>50000000</v>
      </c>
      <c r="H40" s="882">
        <v>50000000</v>
      </c>
      <c r="I40" s="882">
        <v>50000000</v>
      </c>
      <c r="J40" s="886">
        <v>40918241</v>
      </c>
      <c r="K40" s="822" t="s">
        <v>2020</v>
      </c>
      <c r="L40" s="456"/>
      <c r="M40" s="456"/>
      <c r="N40" s="456"/>
      <c r="O40" s="456"/>
      <c r="P40" s="456"/>
      <c r="Q40" s="456"/>
      <c r="R40" s="456"/>
    </row>
    <row r="41" spans="2:18" ht="89.25" customHeight="1" thickBot="1">
      <c r="B41" s="1490"/>
      <c r="C41" s="644">
        <v>18</v>
      </c>
      <c r="D41" s="729" t="s">
        <v>1909</v>
      </c>
      <c r="E41" s="838">
        <v>1</v>
      </c>
      <c r="F41" s="828">
        <v>1</v>
      </c>
      <c r="G41" s="882"/>
      <c r="H41" s="884"/>
      <c r="I41" s="884"/>
      <c r="J41" s="885"/>
      <c r="K41" s="820" t="s">
        <v>2008</v>
      </c>
      <c r="L41" s="456"/>
      <c r="M41" s="456"/>
      <c r="N41" s="456"/>
      <c r="O41" s="456"/>
      <c r="P41" s="456"/>
      <c r="Q41" s="456"/>
      <c r="R41" s="456"/>
    </row>
    <row r="42" spans="2:18" ht="93" customHeight="1" thickBot="1">
      <c r="B42" s="1490"/>
      <c r="C42" s="644">
        <v>19</v>
      </c>
      <c r="D42" s="729" t="s">
        <v>1910</v>
      </c>
      <c r="E42" s="838">
        <v>1</v>
      </c>
      <c r="F42" s="828">
        <v>1</v>
      </c>
      <c r="G42" s="882">
        <v>200000000</v>
      </c>
      <c r="H42" s="882">
        <v>200000000</v>
      </c>
      <c r="I42" s="882">
        <v>200000000</v>
      </c>
      <c r="J42" s="886">
        <v>93392770</v>
      </c>
      <c r="K42" s="822" t="s">
        <v>2021</v>
      </c>
      <c r="L42" s="456"/>
      <c r="M42" s="456"/>
      <c r="N42" s="456"/>
      <c r="O42" s="456"/>
      <c r="P42" s="456"/>
      <c r="Q42" s="456"/>
      <c r="R42" s="456"/>
    </row>
    <row r="43" spans="2:18" ht="65.25" customHeight="1" thickBot="1">
      <c r="B43" s="1490"/>
      <c r="C43" s="644">
        <v>20</v>
      </c>
      <c r="D43" s="728" t="s">
        <v>1911</v>
      </c>
      <c r="E43" s="838">
        <v>1</v>
      </c>
      <c r="F43" s="828">
        <v>1</v>
      </c>
      <c r="G43" s="882">
        <v>225000000</v>
      </c>
      <c r="H43" s="882">
        <v>225000000</v>
      </c>
      <c r="I43" s="882">
        <v>225000000</v>
      </c>
      <c r="J43" s="886">
        <v>16324079</v>
      </c>
      <c r="K43" s="823" t="s">
        <v>2022</v>
      </c>
      <c r="L43" s="456"/>
      <c r="M43" s="456"/>
      <c r="N43" s="456"/>
      <c r="O43" s="456"/>
      <c r="P43" s="456"/>
      <c r="Q43" s="456"/>
      <c r="R43" s="456"/>
    </row>
    <row r="44" spans="2:18" ht="48.6" thickBot="1">
      <c r="B44" s="1490"/>
      <c r="C44" s="644">
        <v>21</v>
      </c>
      <c r="D44" s="728" t="s">
        <v>1912</v>
      </c>
      <c r="E44" s="838">
        <v>1</v>
      </c>
      <c r="F44" s="832">
        <v>1</v>
      </c>
      <c r="G44" s="882">
        <v>225000000</v>
      </c>
      <c r="H44" s="882">
        <v>225000000</v>
      </c>
      <c r="I44" s="882">
        <v>225000000</v>
      </c>
      <c r="J44" s="886">
        <v>16324079</v>
      </c>
      <c r="K44" s="818" t="s">
        <v>2023</v>
      </c>
      <c r="L44" s="456"/>
      <c r="M44" s="456"/>
      <c r="N44" s="456"/>
      <c r="O44" s="456"/>
      <c r="P44" s="456"/>
      <c r="Q44" s="456"/>
      <c r="R44" s="456"/>
    </row>
    <row r="45" spans="2:18" ht="64.5" customHeight="1" thickBot="1">
      <c r="B45" s="1490"/>
      <c r="C45" s="644">
        <v>22</v>
      </c>
      <c r="D45" s="730" t="s">
        <v>1913</v>
      </c>
      <c r="E45" s="838">
        <v>1</v>
      </c>
      <c r="F45" s="828">
        <v>1</v>
      </c>
      <c r="G45" s="873">
        <v>100000000</v>
      </c>
      <c r="H45" s="873">
        <v>100000000</v>
      </c>
      <c r="I45" s="873">
        <v>100000000</v>
      </c>
      <c r="J45" s="890">
        <v>7255144</v>
      </c>
      <c r="K45" s="818" t="s">
        <v>2024</v>
      </c>
      <c r="L45" s="456"/>
      <c r="M45" s="456"/>
      <c r="N45" s="456"/>
      <c r="O45" s="456"/>
      <c r="P45" s="456"/>
      <c r="Q45" s="456"/>
      <c r="R45" s="456"/>
    </row>
    <row r="46" spans="2:18" ht="89.25" customHeight="1" thickBot="1">
      <c r="B46" s="1490"/>
      <c r="C46" s="644">
        <v>23</v>
      </c>
      <c r="D46" s="639" t="s">
        <v>1914</v>
      </c>
      <c r="E46" s="838">
        <v>1</v>
      </c>
      <c r="F46" s="828">
        <v>1</v>
      </c>
      <c r="G46" s="871">
        <v>150000000</v>
      </c>
      <c r="H46" s="871">
        <v>150000000</v>
      </c>
      <c r="I46" s="871">
        <v>150000000</v>
      </c>
      <c r="J46" s="891">
        <v>10882719</v>
      </c>
      <c r="K46" s="818" t="s">
        <v>2025</v>
      </c>
      <c r="L46" s="456"/>
      <c r="M46" s="456"/>
      <c r="N46" s="456"/>
      <c r="O46" s="456"/>
      <c r="P46" s="456"/>
      <c r="Q46" s="456"/>
      <c r="R46" s="456"/>
    </row>
    <row r="47" spans="2:18" ht="96.75" customHeight="1" thickBot="1">
      <c r="B47" s="1490"/>
      <c r="C47" s="644">
        <v>24</v>
      </c>
      <c r="D47" s="639" t="s">
        <v>1915</v>
      </c>
      <c r="E47" s="838">
        <v>1</v>
      </c>
      <c r="F47" s="828">
        <v>1</v>
      </c>
      <c r="G47" s="871">
        <v>150000000</v>
      </c>
      <c r="H47" s="871">
        <v>150000000</v>
      </c>
      <c r="I47" s="871">
        <v>150000000</v>
      </c>
      <c r="J47" s="891">
        <v>10882719</v>
      </c>
      <c r="K47" s="818" t="s">
        <v>2026</v>
      </c>
      <c r="L47" s="456"/>
      <c r="M47" s="456"/>
      <c r="N47" s="456"/>
      <c r="O47" s="456"/>
      <c r="P47" s="456"/>
      <c r="Q47" s="456"/>
      <c r="R47" s="456"/>
    </row>
    <row r="48" spans="2:18" ht="76.5" customHeight="1" thickBot="1">
      <c r="B48" s="1490"/>
      <c r="C48" s="644">
        <v>25</v>
      </c>
      <c r="D48" s="639" t="s">
        <v>1916</v>
      </c>
      <c r="E48" s="838">
        <v>1</v>
      </c>
      <c r="F48" s="828">
        <v>1</v>
      </c>
      <c r="G48" s="871">
        <v>150000000</v>
      </c>
      <c r="H48" s="871">
        <v>150000000</v>
      </c>
      <c r="I48" s="871">
        <v>150000000</v>
      </c>
      <c r="J48" s="891">
        <v>10882719</v>
      </c>
      <c r="K48" s="818" t="s">
        <v>2027</v>
      </c>
      <c r="L48" s="456"/>
      <c r="M48" s="456"/>
      <c r="N48" s="456"/>
      <c r="O48" s="456"/>
      <c r="P48" s="456"/>
      <c r="Q48" s="456"/>
      <c r="R48" s="456"/>
    </row>
    <row r="49" spans="2:18" ht="88.5" customHeight="1" thickBot="1">
      <c r="B49" s="1490"/>
      <c r="C49" s="644">
        <v>26</v>
      </c>
      <c r="D49" s="640" t="s">
        <v>2028</v>
      </c>
      <c r="E49" s="842">
        <v>1</v>
      </c>
      <c r="F49" s="843">
        <v>1</v>
      </c>
      <c r="G49" s="889">
        <v>1075000000</v>
      </c>
      <c r="H49" s="889">
        <v>1075000000</v>
      </c>
      <c r="I49" s="889">
        <v>1075000000</v>
      </c>
      <c r="J49" s="892">
        <v>618013967</v>
      </c>
      <c r="K49" s="818" t="s">
        <v>2029</v>
      </c>
      <c r="L49" s="456"/>
      <c r="M49" s="456"/>
      <c r="N49" s="456"/>
      <c r="O49" s="456"/>
      <c r="P49" s="456"/>
      <c r="Q49" s="456"/>
      <c r="R49" s="456"/>
    </row>
    <row r="50" spans="2:18" s="476" customFormat="1" ht="24" customHeight="1" thickBot="1">
      <c r="B50" s="1490"/>
      <c r="C50" s="634"/>
      <c r="D50" s="635" t="s">
        <v>150</v>
      </c>
      <c r="E50" s="824"/>
      <c r="F50" s="825"/>
      <c r="G50" s="636">
        <f>SUM(G24:G49)</f>
        <v>4625000000</v>
      </c>
      <c r="H50" s="636">
        <f>SUM(H24:H49)</f>
        <v>4625000000</v>
      </c>
      <c r="I50" s="636">
        <f>SUM(I24:I49)</f>
        <v>4625000000</v>
      </c>
      <c r="J50" s="636">
        <f>SUM(J24:J49)</f>
        <v>2084630545</v>
      </c>
      <c r="K50" s="690"/>
      <c r="L50" s="637"/>
      <c r="M50" s="637"/>
      <c r="N50" s="637"/>
      <c r="O50" s="637"/>
      <c r="P50" s="637"/>
      <c r="Q50" s="637"/>
      <c r="R50" s="637"/>
    </row>
    <row r="51" spans="2:18">
      <c r="B51" s="1490"/>
      <c r="C51" s="487"/>
      <c r="D51" s="1507" t="s">
        <v>822</v>
      </c>
      <c r="E51" s="1508"/>
      <c r="F51" s="1508"/>
      <c r="G51" s="1508"/>
      <c r="H51" s="1508"/>
      <c r="I51" s="1508"/>
      <c r="J51" s="1508"/>
      <c r="K51" s="1509"/>
      <c r="L51" s="456"/>
      <c r="M51" s="456"/>
      <c r="N51" s="456"/>
      <c r="O51" s="456"/>
      <c r="P51" s="456"/>
      <c r="Q51" s="456"/>
      <c r="R51" s="456"/>
    </row>
    <row r="52" spans="2:18" ht="15" thickBot="1">
      <c r="B52" s="1490"/>
      <c r="C52" s="487"/>
      <c r="D52" s="1507" t="s">
        <v>1139</v>
      </c>
      <c r="E52" s="1508"/>
      <c r="F52" s="1508"/>
      <c r="G52" s="1508"/>
      <c r="H52" s="1508"/>
      <c r="I52" s="1508"/>
      <c r="J52" s="1508"/>
      <c r="K52" s="1509"/>
      <c r="L52" s="456"/>
      <c r="M52" s="456"/>
      <c r="N52" s="456"/>
      <c r="O52" s="456"/>
      <c r="P52" s="456"/>
      <c r="Q52" s="456"/>
      <c r="R52" s="456"/>
    </row>
    <row r="53" spans="2:18" ht="15" thickBot="1">
      <c r="B53" s="1490"/>
      <c r="C53" s="1670" t="s">
        <v>18</v>
      </c>
      <c r="D53" s="1767" t="s">
        <v>691</v>
      </c>
      <c r="E53" s="488" t="s">
        <v>824</v>
      </c>
      <c r="F53" s="1780" t="s">
        <v>692</v>
      </c>
      <c r="G53" s="1781"/>
      <c r="H53" s="1758"/>
      <c r="I53" s="1670"/>
      <c r="K53" s="689"/>
      <c r="L53" s="456"/>
      <c r="M53" s="456"/>
      <c r="N53" s="456"/>
      <c r="O53" s="456"/>
      <c r="P53" s="456"/>
      <c r="Q53" s="456"/>
      <c r="R53" s="456"/>
    </row>
    <row r="54" spans="2:18" ht="15" customHeight="1">
      <c r="B54" s="1490"/>
      <c r="C54" s="1691"/>
      <c r="D54" s="1768"/>
      <c r="E54" s="1625" t="s">
        <v>1140</v>
      </c>
      <c r="F54" s="1625" t="s">
        <v>693</v>
      </c>
      <c r="G54" s="483" t="s">
        <v>694</v>
      </c>
      <c r="H54" s="1758" t="s">
        <v>54</v>
      </c>
      <c r="I54" s="1670"/>
      <c r="K54" s="689"/>
      <c r="L54" s="456"/>
      <c r="M54" s="456"/>
      <c r="N54" s="456"/>
      <c r="O54" s="456"/>
      <c r="P54" s="456"/>
      <c r="Q54" s="456"/>
      <c r="R54" s="456"/>
    </row>
    <row r="55" spans="2:18" ht="15" thickBot="1">
      <c r="B55" s="1490"/>
      <c r="C55" s="1671"/>
      <c r="D55" s="1769"/>
      <c r="E55" s="1627"/>
      <c r="F55" s="1627"/>
      <c r="G55" s="157" t="s">
        <v>689</v>
      </c>
      <c r="H55" s="1759"/>
      <c r="I55" s="1671"/>
      <c r="K55" s="689"/>
      <c r="L55" s="456"/>
      <c r="M55" s="456"/>
      <c r="N55" s="456"/>
      <c r="O55" s="456"/>
      <c r="P55" s="456"/>
      <c r="Q55" s="456"/>
      <c r="R55" s="456"/>
    </row>
    <row r="56" spans="2:18" ht="15" thickBot="1">
      <c r="B56" s="1490"/>
      <c r="C56" s="157">
        <v>1</v>
      </c>
      <c r="D56" s="463">
        <v>0</v>
      </c>
      <c r="E56" s="641">
        <f>+F24</f>
        <v>0</v>
      </c>
      <c r="F56" s="553">
        <f t="shared" ref="F56:F81" si="0">IFERROR(I24/H24,0)</f>
        <v>0</v>
      </c>
      <c r="G56" s="553">
        <f t="shared" ref="G56:G81" si="1">IFERROR(J24/I24,0)</f>
        <v>0</v>
      </c>
      <c r="H56" s="1754" t="s">
        <v>1944</v>
      </c>
      <c r="I56" s="1755"/>
      <c r="J56" s="643"/>
      <c r="K56" s="689"/>
      <c r="L56" s="456"/>
      <c r="M56" s="456"/>
      <c r="N56" s="456"/>
      <c r="O56" s="456"/>
      <c r="P56" s="456"/>
      <c r="Q56" s="456"/>
      <c r="R56" s="456"/>
    </row>
    <row r="57" spans="2:18" ht="15" thickBot="1">
      <c r="B57" s="1490"/>
      <c r="C57" s="157">
        <v>2</v>
      </c>
      <c r="D57" s="463">
        <v>0.05</v>
      </c>
      <c r="E57" s="641">
        <v>1</v>
      </c>
      <c r="F57" s="553">
        <f t="shared" si="0"/>
        <v>1</v>
      </c>
      <c r="G57" s="553">
        <f t="shared" si="1"/>
        <v>0.1</v>
      </c>
      <c r="H57" s="1754"/>
      <c r="I57" s="1755"/>
      <c r="J57" s="643"/>
      <c r="K57" s="689"/>
      <c r="L57" s="456"/>
      <c r="M57" s="456"/>
      <c r="N57" s="456"/>
      <c r="O57" s="456"/>
      <c r="P57" s="456"/>
      <c r="Q57" s="456"/>
      <c r="R57" s="456"/>
    </row>
    <row r="58" spans="2:18" ht="15" thickBot="1">
      <c r="B58" s="1490"/>
      <c r="C58" s="157">
        <v>3</v>
      </c>
      <c r="D58" s="463">
        <v>0.05</v>
      </c>
      <c r="E58" s="641">
        <f>+F26</f>
        <v>1</v>
      </c>
      <c r="F58" s="553">
        <f t="shared" si="0"/>
        <v>1</v>
      </c>
      <c r="G58" s="553">
        <f t="shared" si="1"/>
        <v>0.35</v>
      </c>
      <c r="H58" s="1754"/>
      <c r="I58" s="1755"/>
      <c r="J58" s="643"/>
      <c r="K58" s="689"/>
      <c r="L58" s="456"/>
      <c r="M58" s="456"/>
      <c r="N58" s="456"/>
      <c r="O58" s="456"/>
      <c r="P58" s="456"/>
      <c r="Q58" s="456"/>
      <c r="R58" s="456"/>
    </row>
    <row r="59" spans="2:18" ht="15" thickBot="1">
      <c r="B59" s="1490"/>
      <c r="C59" s="157">
        <v>4</v>
      </c>
      <c r="D59" s="463">
        <v>0.05</v>
      </c>
      <c r="E59" s="641">
        <f>+F27</f>
        <v>1</v>
      </c>
      <c r="F59" s="553">
        <f t="shared" si="0"/>
        <v>1</v>
      </c>
      <c r="G59" s="553">
        <f t="shared" si="1"/>
        <v>0.7171330955555556</v>
      </c>
      <c r="H59" s="1754"/>
      <c r="I59" s="1755"/>
      <c r="J59" s="643"/>
      <c r="K59" s="689"/>
      <c r="L59" s="456"/>
      <c r="M59" s="456"/>
      <c r="N59" s="456"/>
      <c r="O59" s="456"/>
      <c r="P59" s="456"/>
      <c r="Q59" s="456"/>
      <c r="R59" s="456"/>
    </row>
    <row r="60" spans="2:18" ht="15" thickBot="1">
      <c r="B60" s="1490"/>
      <c r="C60" s="157">
        <v>5</v>
      </c>
      <c r="D60" s="463">
        <v>0.05</v>
      </c>
      <c r="E60" s="641">
        <f>+F28</f>
        <v>1</v>
      </c>
      <c r="F60" s="553">
        <f t="shared" si="0"/>
        <v>1</v>
      </c>
      <c r="G60" s="553">
        <f t="shared" si="1"/>
        <v>0.1</v>
      </c>
      <c r="H60" s="1754"/>
      <c r="I60" s="1755"/>
      <c r="J60" s="643"/>
      <c r="K60" s="689"/>
      <c r="L60" s="456"/>
      <c r="M60" s="456"/>
      <c r="N60" s="456"/>
      <c r="O60" s="456"/>
      <c r="P60" s="456"/>
      <c r="Q60" s="456"/>
      <c r="R60" s="456"/>
    </row>
    <row r="61" spans="2:18" ht="15" thickBot="1">
      <c r="B61" s="1490"/>
      <c r="C61" s="157">
        <v>6</v>
      </c>
      <c r="D61" s="463">
        <v>0.05</v>
      </c>
      <c r="E61" s="641">
        <f>+F29</f>
        <v>1</v>
      </c>
      <c r="F61" s="553">
        <f t="shared" si="0"/>
        <v>1</v>
      </c>
      <c r="G61" s="553">
        <f t="shared" si="1"/>
        <v>0.1</v>
      </c>
      <c r="H61" s="1754"/>
      <c r="I61" s="1755"/>
      <c r="J61" s="643"/>
      <c r="K61" s="689"/>
      <c r="L61" s="456"/>
      <c r="M61" s="456"/>
      <c r="N61" s="456"/>
      <c r="O61" s="456"/>
      <c r="P61" s="456"/>
      <c r="Q61" s="456"/>
      <c r="R61" s="456"/>
    </row>
    <row r="62" spans="2:18" ht="15" thickBot="1">
      <c r="B62" s="1490"/>
      <c r="C62" s="157">
        <v>7</v>
      </c>
      <c r="D62" s="463">
        <v>0</v>
      </c>
      <c r="E62" s="641">
        <f>+F30</f>
        <v>1</v>
      </c>
      <c r="F62" s="553">
        <f t="shared" si="0"/>
        <v>0</v>
      </c>
      <c r="G62" s="553">
        <f t="shared" si="1"/>
        <v>0</v>
      </c>
      <c r="H62" s="1754" t="s">
        <v>1944</v>
      </c>
      <c r="I62" s="1755"/>
      <c r="J62" s="643"/>
      <c r="K62" s="689"/>
      <c r="L62" s="456"/>
      <c r="M62" s="456"/>
      <c r="N62" s="456"/>
      <c r="O62" s="456"/>
      <c r="P62" s="456"/>
      <c r="Q62" s="456"/>
      <c r="R62" s="456"/>
    </row>
    <row r="63" spans="2:18" ht="20.25" customHeight="1" thickBot="1">
      <c r="B63" s="1490"/>
      <c r="C63" s="157">
        <v>8</v>
      </c>
      <c r="D63" s="463">
        <v>0</v>
      </c>
      <c r="E63" s="641">
        <v>1</v>
      </c>
      <c r="F63" s="553">
        <f t="shared" si="0"/>
        <v>0</v>
      </c>
      <c r="G63" s="553">
        <f t="shared" si="1"/>
        <v>0</v>
      </c>
      <c r="H63" s="1756"/>
      <c r="I63" s="1757"/>
      <c r="J63" s="643"/>
      <c r="K63" s="689"/>
      <c r="L63" s="456"/>
      <c r="M63" s="456"/>
      <c r="N63" s="456"/>
      <c r="O63" s="456"/>
      <c r="P63" s="456"/>
      <c r="Q63" s="456"/>
      <c r="R63" s="456"/>
    </row>
    <row r="64" spans="2:18" ht="15" thickBot="1">
      <c r="B64" s="1490"/>
      <c r="C64" s="157">
        <v>9</v>
      </c>
      <c r="D64" s="463">
        <v>0.04</v>
      </c>
      <c r="E64" s="641">
        <f>+F32</f>
        <v>1</v>
      </c>
      <c r="F64" s="553">
        <f t="shared" si="0"/>
        <v>1</v>
      </c>
      <c r="G64" s="553">
        <f t="shared" si="1"/>
        <v>0.59571106136363638</v>
      </c>
      <c r="H64" s="1754"/>
      <c r="I64" s="1755"/>
      <c r="J64" s="643"/>
      <c r="K64" s="689"/>
      <c r="L64" s="456"/>
      <c r="M64" s="456"/>
      <c r="N64" s="456"/>
      <c r="O64" s="456"/>
      <c r="P64" s="456"/>
      <c r="Q64" s="456"/>
      <c r="R64" s="456"/>
    </row>
    <row r="65" spans="2:18" ht="15" thickBot="1">
      <c r="B65" s="1490"/>
      <c r="C65" s="157">
        <v>10</v>
      </c>
      <c r="D65" s="463">
        <v>0.04</v>
      </c>
      <c r="E65" s="641">
        <v>1</v>
      </c>
      <c r="F65" s="553">
        <f t="shared" si="0"/>
        <v>0</v>
      </c>
      <c r="G65" s="553">
        <f t="shared" si="1"/>
        <v>0</v>
      </c>
      <c r="H65" s="1754"/>
      <c r="I65" s="1755"/>
      <c r="J65" s="643"/>
      <c r="K65" s="689"/>
      <c r="L65" s="456"/>
      <c r="M65" s="456"/>
      <c r="N65" s="456"/>
      <c r="O65" s="456"/>
      <c r="P65" s="456"/>
      <c r="Q65" s="456"/>
      <c r="R65" s="456"/>
    </row>
    <row r="66" spans="2:18" ht="15" thickBot="1">
      <c r="B66" s="1490"/>
      <c r="C66" s="157">
        <v>11</v>
      </c>
      <c r="D66" s="463">
        <v>0.04</v>
      </c>
      <c r="E66" s="641">
        <f t="shared" ref="E66:E74" si="2">+F34</f>
        <v>1</v>
      </c>
      <c r="F66" s="553">
        <f t="shared" si="0"/>
        <v>1</v>
      </c>
      <c r="G66" s="553">
        <f t="shared" si="1"/>
        <v>0.27655143599999998</v>
      </c>
      <c r="H66" s="1754"/>
      <c r="I66" s="1755"/>
      <c r="J66" s="643"/>
      <c r="K66" s="689"/>
      <c r="L66" s="456"/>
      <c r="M66" s="456"/>
      <c r="N66" s="456"/>
      <c r="O66" s="456"/>
      <c r="P66" s="456"/>
      <c r="Q66" s="456"/>
      <c r="R66" s="456"/>
    </row>
    <row r="67" spans="2:18" ht="15" thickBot="1">
      <c r="B67" s="1490"/>
      <c r="C67" s="157">
        <v>12</v>
      </c>
      <c r="D67" s="463">
        <v>0.04</v>
      </c>
      <c r="E67" s="641">
        <f t="shared" si="2"/>
        <v>1</v>
      </c>
      <c r="F67" s="553">
        <f t="shared" si="0"/>
        <v>0</v>
      </c>
      <c r="G67" s="553">
        <f t="shared" si="1"/>
        <v>0</v>
      </c>
      <c r="H67" s="1754"/>
      <c r="I67" s="1755"/>
      <c r="J67" s="643"/>
      <c r="K67" s="689"/>
      <c r="L67" s="456"/>
      <c r="M67" s="456"/>
      <c r="N67" s="456"/>
      <c r="O67" s="456"/>
      <c r="P67" s="456"/>
      <c r="Q67" s="456"/>
      <c r="R67" s="456"/>
    </row>
    <row r="68" spans="2:18" ht="15" thickBot="1">
      <c r="B68" s="1490"/>
      <c r="C68" s="157">
        <v>13</v>
      </c>
      <c r="D68" s="463">
        <v>0.05</v>
      </c>
      <c r="E68" s="641">
        <f t="shared" si="2"/>
        <v>1</v>
      </c>
      <c r="F68" s="553">
        <f t="shared" si="0"/>
        <v>1</v>
      </c>
      <c r="G68" s="553">
        <f t="shared" si="1"/>
        <v>1</v>
      </c>
      <c r="H68" s="1754"/>
      <c r="I68" s="1755"/>
      <c r="J68" s="643"/>
      <c r="K68" s="689"/>
      <c r="L68" s="456"/>
      <c r="M68" s="456"/>
      <c r="N68" s="456"/>
      <c r="O68" s="456"/>
      <c r="P68" s="456"/>
      <c r="Q68" s="456"/>
      <c r="R68" s="456"/>
    </row>
    <row r="69" spans="2:18" ht="15" thickBot="1">
      <c r="B69" s="1490"/>
      <c r="C69" s="157">
        <v>14</v>
      </c>
      <c r="D69" s="463">
        <v>0.04</v>
      </c>
      <c r="E69" s="641">
        <f t="shared" si="2"/>
        <v>1</v>
      </c>
      <c r="F69" s="553">
        <f t="shared" si="0"/>
        <v>1</v>
      </c>
      <c r="G69" s="553">
        <f t="shared" si="1"/>
        <v>0.66604002500000004</v>
      </c>
      <c r="H69" s="1754"/>
      <c r="I69" s="1755"/>
      <c r="J69" s="643"/>
      <c r="K69" s="689"/>
      <c r="L69" s="456"/>
      <c r="M69" s="456"/>
      <c r="N69" s="456"/>
      <c r="O69" s="456"/>
      <c r="P69" s="456"/>
      <c r="Q69" s="456"/>
      <c r="R69" s="456"/>
    </row>
    <row r="70" spans="2:18" ht="15" thickBot="1">
      <c r="B70" s="1490"/>
      <c r="C70" s="157">
        <v>15</v>
      </c>
      <c r="D70" s="463">
        <v>0.05</v>
      </c>
      <c r="E70" s="641">
        <f t="shared" si="2"/>
        <v>1</v>
      </c>
      <c r="F70" s="553">
        <f t="shared" si="0"/>
        <v>1</v>
      </c>
      <c r="G70" s="553">
        <f t="shared" si="1"/>
        <v>0.172551435</v>
      </c>
      <c r="H70" s="1754"/>
      <c r="I70" s="1755"/>
      <c r="J70" s="643"/>
      <c r="K70" s="689"/>
      <c r="L70" s="456"/>
      <c r="M70" s="456"/>
      <c r="N70" s="456"/>
      <c r="O70" s="456"/>
      <c r="P70" s="456"/>
      <c r="Q70" s="456"/>
      <c r="R70" s="456"/>
    </row>
    <row r="71" spans="2:18" ht="15" thickBot="1">
      <c r="B71" s="1490"/>
      <c r="C71" s="157">
        <v>16</v>
      </c>
      <c r="D71" s="463">
        <v>0.04</v>
      </c>
      <c r="E71" s="641">
        <f t="shared" si="2"/>
        <v>1</v>
      </c>
      <c r="F71" s="553">
        <f t="shared" si="0"/>
        <v>1</v>
      </c>
      <c r="G71" s="553">
        <f t="shared" si="1"/>
        <v>1</v>
      </c>
      <c r="H71" s="1754"/>
      <c r="I71" s="1755"/>
      <c r="J71" s="643"/>
      <c r="K71" s="689"/>
      <c r="L71" s="456"/>
      <c r="M71" s="456"/>
      <c r="N71" s="456"/>
      <c r="O71" s="456"/>
      <c r="P71" s="456"/>
      <c r="Q71" s="456"/>
      <c r="R71" s="456"/>
    </row>
    <row r="72" spans="2:18" ht="15" thickBot="1">
      <c r="B72" s="1490"/>
      <c r="C72" s="157">
        <v>17</v>
      </c>
      <c r="D72" s="463">
        <v>0.04</v>
      </c>
      <c r="E72" s="641">
        <f t="shared" si="2"/>
        <v>1</v>
      </c>
      <c r="F72" s="553">
        <f t="shared" si="0"/>
        <v>1</v>
      </c>
      <c r="G72" s="553">
        <f t="shared" si="1"/>
        <v>0.81836481999999999</v>
      </c>
      <c r="H72" s="1754"/>
      <c r="I72" s="1755"/>
      <c r="J72" s="643"/>
      <c r="K72" s="689"/>
      <c r="L72" s="456"/>
      <c r="M72" s="456"/>
      <c r="N72" s="456"/>
      <c r="O72" s="456"/>
      <c r="P72" s="456"/>
      <c r="Q72" s="456"/>
      <c r="R72" s="456"/>
    </row>
    <row r="73" spans="2:18" ht="15" thickBot="1">
      <c r="B73" s="1490"/>
      <c r="C73" s="157">
        <v>18</v>
      </c>
      <c r="D73" s="463">
        <v>0.04</v>
      </c>
      <c r="E73" s="641">
        <f t="shared" si="2"/>
        <v>1</v>
      </c>
      <c r="F73" s="553">
        <f t="shared" si="0"/>
        <v>0</v>
      </c>
      <c r="G73" s="553">
        <f t="shared" si="1"/>
        <v>0</v>
      </c>
      <c r="H73" s="1754"/>
      <c r="I73" s="1755"/>
      <c r="J73" s="643"/>
      <c r="K73" s="689"/>
      <c r="L73" s="456"/>
      <c r="M73" s="456"/>
      <c r="N73" s="456"/>
      <c r="O73" s="456"/>
      <c r="P73" s="456"/>
      <c r="Q73" s="456"/>
      <c r="R73" s="456"/>
    </row>
    <row r="74" spans="2:18" ht="15" thickBot="1">
      <c r="B74" s="1490"/>
      <c r="C74" s="157">
        <v>19</v>
      </c>
      <c r="D74" s="463">
        <v>0.04</v>
      </c>
      <c r="E74" s="641">
        <f t="shared" si="2"/>
        <v>1</v>
      </c>
      <c r="F74" s="553">
        <f t="shared" si="0"/>
        <v>1</v>
      </c>
      <c r="G74" s="553">
        <f t="shared" si="1"/>
        <v>0.46696385000000001</v>
      </c>
      <c r="H74" s="1754"/>
      <c r="I74" s="1755"/>
      <c r="J74" s="643"/>
      <c r="K74" s="689"/>
      <c r="L74" s="456"/>
      <c r="M74" s="456"/>
      <c r="N74" s="456"/>
      <c r="O74" s="456"/>
      <c r="P74" s="456"/>
      <c r="Q74" s="456"/>
      <c r="R74" s="456"/>
    </row>
    <row r="75" spans="2:18" ht="15" thickBot="1">
      <c r="B75" s="1490"/>
      <c r="C75" s="157">
        <v>20</v>
      </c>
      <c r="D75" s="463">
        <v>0</v>
      </c>
      <c r="E75" s="641">
        <v>0</v>
      </c>
      <c r="F75" s="553">
        <f t="shared" si="0"/>
        <v>1</v>
      </c>
      <c r="G75" s="553">
        <f t="shared" si="1"/>
        <v>7.2551462222222224E-2</v>
      </c>
      <c r="H75" s="1754" t="s">
        <v>1944</v>
      </c>
      <c r="I75" s="1755"/>
      <c r="J75" s="643"/>
      <c r="K75" s="689"/>
      <c r="L75" s="456"/>
      <c r="M75" s="456"/>
      <c r="N75" s="456"/>
      <c r="O75" s="456"/>
      <c r="P75" s="456"/>
      <c r="Q75" s="456"/>
      <c r="R75" s="456"/>
    </row>
    <row r="76" spans="2:18" ht="15" thickBot="1">
      <c r="B76" s="1490"/>
      <c r="C76" s="157">
        <v>21</v>
      </c>
      <c r="D76" s="463">
        <v>0.04</v>
      </c>
      <c r="E76" s="641">
        <f t="shared" ref="E76:E81" si="3">+F44</f>
        <v>1</v>
      </c>
      <c r="F76" s="553">
        <f t="shared" si="0"/>
        <v>1</v>
      </c>
      <c r="G76" s="553">
        <f t="shared" si="1"/>
        <v>7.2551462222222224E-2</v>
      </c>
      <c r="H76" s="1754"/>
      <c r="I76" s="1755"/>
      <c r="J76" s="643"/>
      <c r="K76" s="689"/>
      <c r="L76" s="456"/>
      <c r="M76" s="456"/>
      <c r="N76" s="456"/>
      <c r="O76" s="456"/>
      <c r="P76" s="456"/>
      <c r="Q76" s="456"/>
      <c r="R76" s="456"/>
    </row>
    <row r="77" spans="2:18" ht="15" thickBot="1">
      <c r="B77" s="1490"/>
      <c r="C77" s="157">
        <v>22</v>
      </c>
      <c r="D77" s="463">
        <v>0.05</v>
      </c>
      <c r="E77" s="641">
        <f t="shared" si="3"/>
        <v>1</v>
      </c>
      <c r="F77" s="553">
        <f t="shared" si="0"/>
        <v>1</v>
      </c>
      <c r="G77" s="553">
        <f t="shared" si="1"/>
        <v>7.2551439999999995E-2</v>
      </c>
      <c r="H77" s="1754"/>
      <c r="I77" s="1755"/>
      <c r="J77" s="643"/>
      <c r="K77" s="689"/>
      <c r="L77" s="456"/>
      <c r="M77" s="456"/>
      <c r="N77" s="456"/>
      <c r="O77" s="456"/>
      <c r="P77" s="456"/>
      <c r="Q77" s="456"/>
      <c r="R77" s="456"/>
    </row>
    <row r="78" spans="2:18" ht="15" thickBot="1">
      <c r="B78" s="1490"/>
      <c r="C78" s="157">
        <v>23</v>
      </c>
      <c r="D78" s="463">
        <v>0.05</v>
      </c>
      <c r="E78" s="641">
        <f t="shared" si="3"/>
        <v>1</v>
      </c>
      <c r="F78" s="553">
        <f t="shared" si="0"/>
        <v>1</v>
      </c>
      <c r="G78" s="553">
        <f t="shared" si="1"/>
        <v>7.2551459999999998E-2</v>
      </c>
      <c r="H78" s="1754"/>
      <c r="I78" s="1755"/>
      <c r="J78" s="643"/>
      <c r="K78" s="689"/>
      <c r="L78" s="456"/>
      <c r="M78" s="456"/>
      <c r="N78" s="456"/>
      <c r="O78" s="456"/>
      <c r="P78" s="456"/>
      <c r="Q78" s="456"/>
      <c r="R78" s="456"/>
    </row>
    <row r="79" spans="2:18" ht="15" thickBot="1">
      <c r="B79" s="1490"/>
      <c r="C79" s="157">
        <v>24</v>
      </c>
      <c r="D79" s="463">
        <v>0.05</v>
      </c>
      <c r="E79" s="641">
        <f t="shared" si="3"/>
        <v>1</v>
      </c>
      <c r="F79" s="553">
        <f t="shared" si="0"/>
        <v>1</v>
      </c>
      <c r="G79" s="553">
        <f t="shared" si="1"/>
        <v>7.2551459999999998E-2</v>
      </c>
      <c r="H79" s="1754"/>
      <c r="I79" s="1755"/>
      <c r="K79" s="689"/>
      <c r="L79" s="456"/>
      <c r="M79" s="456"/>
      <c r="N79" s="456"/>
      <c r="O79" s="456"/>
      <c r="P79" s="456"/>
      <c r="Q79" s="456"/>
      <c r="R79" s="456"/>
    </row>
    <row r="80" spans="2:18" ht="15" thickBot="1">
      <c r="B80" s="1490"/>
      <c r="C80" s="157">
        <v>25</v>
      </c>
      <c r="D80" s="463">
        <v>0.05</v>
      </c>
      <c r="E80" s="641">
        <f t="shared" si="3"/>
        <v>1</v>
      </c>
      <c r="F80" s="553">
        <f t="shared" si="0"/>
        <v>1</v>
      </c>
      <c r="G80" s="553">
        <f t="shared" si="1"/>
        <v>7.2551459999999998E-2</v>
      </c>
      <c r="H80" s="653"/>
      <c r="I80" s="542"/>
      <c r="K80" s="689"/>
      <c r="L80" s="456"/>
      <c r="M80" s="456"/>
      <c r="N80" s="456"/>
      <c r="O80" s="456"/>
      <c r="P80" s="456"/>
      <c r="Q80" s="456"/>
      <c r="R80" s="456"/>
    </row>
    <row r="81" spans="2:18" ht="15" thickBot="1">
      <c r="B81" s="1490"/>
      <c r="C81" s="157">
        <v>26</v>
      </c>
      <c r="D81" s="463">
        <v>0.05</v>
      </c>
      <c r="E81" s="641">
        <f t="shared" si="3"/>
        <v>1</v>
      </c>
      <c r="F81" s="553">
        <f t="shared" si="0"/>
        <v>1</v>
      </c>
      <c r="G81" s="553">
        <f t="shared" si="1"/>
        <v>0.57489671348837212</v>
      </c>
      <c r="H81" s="1754"/>
      <c r="I81" s="1755"/>
      <c r="K81" s="689"/>
      <c r="L81" s="456"/>
      <c r="M81" s="456"/>
      <c r="N81" s="456"/>
      <c r="O81" s="456"/>
      <c r="P81" s="456"/>
      <c r="Q81" s="456"/>
      <c r="R81" s="456"/>
    </row>
    <row r="82" spans="2:18" ht="15" thickBot="1">
      <c r="B82" s="1491"/>
      <c r="C82" s="157"/>
      <c r="D82" s="654">
        <f>SUM(D56:D81)</f>
        <v>1.0000000000000002</v>
      </c>
      <c r="E82" s="552">
        <f>+SUMPRODUCT(D56:D81,E56:E81)</f>
        <v>1.0000000000000002</v>
      </c>
      <c r="F82" s="552">
        <f>+SUMPRODUCT(D56:D81,F56:F81)</f>
        <v>0.88000000000000023</v>
      </c>
      <c r="G82" s="642">
        <f t="shared" ref="G82" si="4">IFERROR(J50/I50,0)</f>
        <v>0.45073092864864867</v>
      </c>
      <c r="H82" s="1754"/>
      <c r="I82" s="1755"/>
      <c r="J82" s="655"/>
      <c r="K82" s="691"/>
      <c r="L82" s="456"/>
      <c r="M82" s="456" t="s">
        <v>1189</v>
      </c>
      <c r="N82" s="456"/>
      <c r="O82" s="456"/>
      <c r="P82" s="456"/>
      <c r="Q82" s="456"/>
      <c r="R82" s="456"/>
    </row>
    <row r="83" spans="2:18" ht="24" customHeight="1" thickBot="1">
      <c r="B83" s="656" t="s">
        <v>33</v>
      </c>
      <c r="C83" s="657"/>
      <c r="D83" s="1782" t="s">
        <v>1141</v>
      </c>
      <c r="E83" s="1783"/>
      <c r="F83" s="1783"/>
      <c r="G83" s="1783"/>
      <c r="H83" s="1783"/>
      <c r="I83" s="1783"/>
      <c r="J83" s="1783"/>
      <c r="K83" s="1784"/>
      <c r="L83" s="456"/>
      <c r="M83" s="456"/>
      <c r="N83" s="456"/>
      <c r="O83" s="456"/>
      <c r="P83" s="456"/>
      <c r="Q83" s="456"/>
      <c r="R83" s="456"/>
    </row>
    <row r="84" spans="2:18" ht="24.6" thickBot="1">
      <c r="B84" s="656" t="s">
        <v>35</v>
      </c>
      <c r="C84" s="657"/>
      <c r="D84" s="1782" t="s">
        <v>345</v>
      </c>
      <c r="E84" s="1783"/>
      <c r="F84" s="1783"/>
      <c r="G84" s="1783"/>
      <c r="H84" s="1783"/>
      <c r="I84" s="1783"/>
      <c r="J84" s="1783"/>
      <c r="K84" s="1784"/>
      <c r="L84" s="456"/>
      <c r="M84" s="456"/>
      <c r="N84" s="456"/>
      <c r="O84" s="456"/>
      <c r="P84" s="456"/>
      <c r="Q84" s="456"/>
      <c r="R84" s="456"/>
    </row>
    <row r="85" spans="2:18" ht="15" thickBot="1">
      <c r="B85" s="658"/>
      <c r="C85" s="659"/>
      <c r="D85" s="456"/>
      <c r="E85" s="456"/>
      <c r="F85" s="456"/>
      <c r="G85" s="456"/>
      <c r="H85" s="456"/>
      <c r="I85" s="456"/>
      <c r="J85" s="456"/>
      <c r="K85" s="692"/>
      <c r="L85" s="456"/>
      <c r="M85" s="456"/>
      <c r="N85" s="456"/>
      <c r="O85" s="456"/>
      <c r="P85" s="456"/>
      <c r="Q85" s="456"/>
      <c r="R85" s="456"/>
    </row>
    <row r="86" spans="2:18" ht="24" customHeight="1" thickBot="1">
      <c r="B86" s="1771" t="s">
        <v>37</v>
      </c>
      <c r="C86" s="1772"/>
      <c r="D86" s="1772"/>
      <c r="E86" s="1773"/>
      <c r="F86" s="456"/>
      <c r="G86" s="456"/>
      <c r="H86" s="456"/>
      <c r="I86" s="456"/>
      <c r="J86" s="456"/>
      <c r="K86" s="692"/>
      <c r="L86" s="456"/>
      <c r="M86" s="456"/>
      <c r="N86" s="456"/>
      <c r="O86" s="456"/>
      <c r="P86" s="456"/>
      <c r="Q86" s="456"/>
      <c r="R86" s="456"/>
    </row>
    <row r="87" spans="2:18" ht="15" thickBot="1">
      <c r="B87" s="1765">
        <v>1</v>
      </c>
      <c r="C87" s="660"/>
      <c r="D87" s="661" t="s">
        <v>38</v>
      </c>
      <c r="E87" s="274" t="s">
        <v>1814</v>
      </c>
      <c r="F87" s="456"/>
      <c r="G87" s="456"/>
      <c r="H87" s="456"/>
      <c r="I87" s="456"/>
      <c r="J87" s="456"/>
      <c r="K87" s="692"/>
      <c r="L87" s="456"/>
      <c r="M87" s="456"/>
      <c r="N87" s="456"/>
      <c r="O87" s="456"/>
      <c r="P87" s="456"/>
      <c r="Q87" s="456"/>
      <c r="R87" s="456"/>
    </row>
    <row r="88" spans="2:18" ht="24.6" thickBot="1">
      <c r="B88" s="1770"/>
      <c r="C88" s="660"/>
      <c r="D88" s="662" t="s">
        <v>39</v>
      </c>
      <c r="E88" s="638" t="s">
        <v>2006</v>
      </c>
      <c r="F88" s="456"/>
      <c r="G88" s="456"/>
      <c r="H88" s="456"/>
      <c r="I88" s="456"/>
      <c r="J88" s="456"/>
      <c r="K88" s="692"/>
      <c r="L88" s="456"/>
      <c r="M88" s="456"/>
      <c r="N88" s="456"/>
      <c r="O88" s="456"/>
      <c r="P88" s="456"/>
      <c r="Q88" s="456"/>
      <c r="R88" s="456"/>
    </row>
    <row r="89" spans="2:18" ht="23.4" customHeight="1" thickBot="1">
      <c r="B89" s="1770"/>
      <c r="C89" s="660"/>
      <c r="D89" s="662" t="s">
        <v>40</v>
      </c>
      <c r="E89" s="638" t="s">
        <v>1821</v>
      </c>
      <c r="F89" s="456"/>
      <c r="G89" s="456"/>
      <c r="H89" s="456"/>
      <c r="I89" s="456"/>
      <c r="J89" s="456"/>
      <c r="K89" s="692"/>
      <c r="L89" s="456"/>
      <c r="M89" s="456"/>
      <c r="N89" s="456"/>
      <c r="O89" s="456"/>
      <c r="P89" s="456"/>
      <c r="Q89" s="456"/>
      <c r="R89" s="456"/>
    </row>
    <row r="90" spans="2:18" ht="15" thickBot="1">
      <c r="B90" s="1770"/>
      <c r="C90" s="660"/>
      <c r="D90" s="662" t="s">
        <v>41</v>
      </c>
      <c r="E90" s="274" t="s">
        <v>2058</v>
      </c>
      <c r="F90" s="456"/>
      <c r="G90" s="456"/>
      <c r="H90" s="456"/>
      <c r="I90" s="456"/>
      <c r="J90" s="456"/>
      <c r="K90" s="692"/>
      <c r="L90" s="456"/>
      <c r="M90" s="456"/>
      <c r="N90" s="456"/>
      <c r="O90" s="456"/>
      <c r="P90" s="456"/>
      <c r="Q90" s="456"/>
      <c r="R90" s="456"/>
    </row>
    <row r="91" spans="2:18" ht="29.4" thickBot="1">
      <c r="B91" s="1770"/>
      <c r="C91" s="660"/>
      <c r="D91" s="662" t="s">
        <v>42</v>
      </c>
      <c r="E91" s="663" t="s">
        <v>1816</v>
      </c>
      <c r="F91" s="456"/>
      <c r="G91" s="456"/>
      <c r="H91" s="456"/>
      <c r="I91" s="456"/>
      <c r="J91" s="456"/>
      <c r="K91" s="692"/>
      <c r="L91" s="456"/>
      <c r="M91" s="456"/>
      <c r="N91" s="456"/>
      <c r="O91" s="456"/>
      <c r="P91" s="456"/>
      <c r="Q91" s="456"/>
      <c r="R91" s="456"/>
    </row>
    <row r="92" spans="2:18" ht="15" thickBot="1">
      <c r="B92" s="1770"/>
      <c r="C92" s="660"/>
      <c r="D92" s="662" t="s">
        <v>43</v>
      </c>
      <c r="E92" s="274">
        <v>3686626</v>
      </c>
      <c r="F92" s="456"/>
      <c r="G92" s="456"/>
      <c r="H92" s="456"/>
      <c r="I92" s="456"/>
      <c r="J92" s="456"/>
      <c r="K92" s="692"/>
      <c r="L92" s="456"/>
      <c r="M92" s="456"/>
      <c r="N92" s="456"/>
      <c r="O92" s="456"/>
      <c r="P92" s="456"/>
      <c r="Q92" s="456"/>
      <c r="R92" s="456"/>
    </row>
    <row r="93" spans="2:18" ht="24.6" thickBot="1">
      <c r="B93" s="1766"/>
      <c r="C93" s="458"/>
      <c r="D93" s="662" t="s">
        <v>44</v>
      </c>
      <c r="E93" s="638" t="s">
        <v>1817</v>
      </c>
      <c r="F93" s="456"/>
      <c r="G93" s="456"/>
      <c r="H93" s="456"/>
      <c r="I93" s="456"/>
      <c r="J93" s="456"/>
      <c r="K93" s="692"/>
      <c r="L93" s="456"/>
      <c r="M93" s="456"/>
      <c r="N93" s="456"/>
      <c r="O93" s="456"/>
      <c r="P93" s="456"/>
      <c r="Q93" s="456"/>
      <c r="R93" s="456"/>
    </row>
    <row r="94" spans="2:18" ht="15" thickBot="1">
      <c r="B94" s="658"/>
      <c r="C94" s="659"/>
      <c r="D94" s="456"/>
      <c r="E94" s="456"/>
      <c r="F94" s="456"/>
      <c r="G94" s="456"/>
      <c r="H94" s="456"/>
      <c r="I94" s="456"/>
      <c r="J94" s="456"/>
      <c r="K94" s="692"/>
      <c r="L94" s="456"/>
      <c r="M94" s="456"/>
      <c r="N94" s="456"/>
      <c r="O94" s="456"/>
      <c r="P94" s="456"/>
      <c r="Q94" s="456"/>
      <c r="R94" s="456"/>
    </row>
    <row r="95" spans="2:18" ht="15" thickBot="1">
      <c r="B95" s="1771" t="s">
        <v>45</v>
      </c>
      <c r="C95" s="1772"/>
      <c r="D95" s="1772"/>
      <c r="E95" s="1773"/>
      <c r="F95" s="456"/>
      <c r="G95" s="456"/>
      <c r="H95" s="456"/>
      <c r="I95" s="456"/>
      <c r="J95" s="456"/>
      <c r="K95" s="692"/>
      <c r="L95" s="456"/>
      <c r="M95" s="456"/>
      <c r="N95" s="456"/>
      <c r="O95" s="456"/>
      <c r="P95" s="456"/>
      <c r="Q95" s="456"/>
      <c r="R95" s="456"/>
    </row>
    <row r="96" spans="2:18" ht="15" thickBot="1">
      <c r="B96" s="1765">
        <v>1</v>
      </c>
      <c r="C96" s="660"/>
      <c r="D96" s="661" t="s">
        <v>38</v>
      </c>
      <c r="E96" s="664" t="s">
        <v>46</v>
      </c>
      <c r="F96" s="456"/>
      <c r="G96" s="456"/>
      <c r="H96" s="456"/>
      <c r="I96" s="456"/>
      <c r="J96" s="456"/>
      <c r="K96" s="692"/>
      <c r="L96" s="456"/>
      <c r="M96" s="456"/>
      <c r="N96" s="456"/>
      <c r="O96" s="456"/>
      <c r="P96" s="456"/>
      <c r="Q96" s="456"/>
      <c r="R96" s="456"/>
    </row>
    <row r="97" spans="2:18" ht="15" thickBot="1">
      <c r="B97" s="1770"/>
      <c r="C97" s="660"/>
      <c r="D97" s="662" t="s">
        <v>39</v>
      </c>
      <c r="E97" s="664" t="s">
        <v>47</v>
      </c>
      <c r="F97" s="456"/>
      <c r="G97" s="456"/>
      <c r="H97" s="456"/>
      <c r="I97" s="456"/>
      <c r="J97" s="456"/>
      <c r="K97" s="692"/>
      <c r="L97" s="456"/>
      <c r="M97" s="456"/>
      <c r="N97" s="456"/>
      <c r="O97" s="456"/>
      <c r="P97" s="456"/>
      <c r="Q97" s="456"/>
      <c r="R97" s="456"/>
    </row>
    <row r="98" spans="2:18" ht="15" thickBot="1">
      <c r="B98" s="1770"/>
      <c r="C98" s="660"/>
      <c r="D98" s="662" t="s">
        <v>40</v>
      </c>
      <c r="E98" s="665"/>
      <c r="F98" s="456"/>
      <c r="G98" s="456"/>
      <c r="H98" s="456"/>
      <c r="I98" s="456"/>
      <c r="J98" s="456"/>
      <c r="K98" s="692"/>
      <c r="L98" s="456"/>
      <c r="M98" s="456"/>
      <c r="N98" s="456"/>
      <c r="O98" s="456"/>
      <c r="P98" s="456"/>
      <c r="Q98" s="456"/>
      <c r="R98" s="456"/>
    </row>
    <row r="99" spans="2:18" ht="15" thickBot="1">
      <c r="B99" s="1770"/>
      <c r="C99" s="660"/>
      <c r="D99" s="662" t="s">
        <v>41</v>
      </c>
      <c r="E99" s="665"/>
      <c r="F99" s="456"/>
      <c r="G99" s="456"/>
      <c r="H99" s="456"/>
      <c r="I99" s="456"/>
      <c r="J99" s="456"/>
      <c r="K99" s="692"/>
      <c r="L99" s="456"/>
      <c r="M99" s="456"/>
      <c r="N99" s="456"/>
      <c r="O99" s="456"/>
      <c r="P99" s="456"/>
      <c r="Q99" s="456"/>
      <c r="R99" s="456"/>
    </row>
    <row r="100" spans="2:18" ht="15" thickBot="1">
      <c r="B100" s="1770"/>
      <c r="C100" s="660"/>
      <c r="D100" s="662" t="s">
        <v>42</v>
      </c>
      <c r="E100" s="665"/>
      <c r="F100" s="456"/>
      <c r="G100" s="456"/>
      <c r="H100" s="456"/>
      <c r="I100" s="456"/>
      <c r="J100" s="456"/>
      <c r="K100" s="692"/>
      <c r="L100" s="456"/>
      <c r="M100" s="456"/>
      <c r="N100" s="456"/>
      <c r="O100" s="456"/>
      <c r="P100" s="456"/>
      <c r="Q100" s="456"/>
      <c r="R100" s="456"/>
    </row>
    <row r="101" spans="2:18" ht="15" thickBot="1">
      <c r="B101" s="1770"/>
      <c r="C101" s="660"/>
      <c r="D101" s="662" t="s">
        <v>43</v>
      </c>
      <c r="E101" s="665"/>
      <c r="F101" s="456"/>
      <c r="G101" s="456"/>
      <c r="H101" s="456"/>
      <c r="I101" s="456"/>
      <c r="J101" s="456"/>
      <c r="K101" s="692"/>
      <c r="L101" s="456"/>
      <c r="M101" s="456"/>
      <c r="N101" s="456"/>
      <c r="O101" s="456"/>
      <c r="P101" s="456"/>
      <c r="Q101" s="456"/>
      <c r="R101" s="456"/>
    </row>
    <row r="102" spans="2:18" ht="15" thickBot="1">
      <c r="B102" s="1766"/>
      <c r="C102" s="458"/>
      <c r="D102" s="662" t="s">
        <v>44</v>
      </c>
      <c r="E102" s="665"/>
      <c r="F102" s="456"/>
      <c r="G102" s="456"/>
      <c r="H102" s="456"/>
      <c r="I102" s="456"/>
      <c r="J102" s="456"/>
      <c r="K102" s="692"/>
      <c r="L102" s="456"/>
      <c r="M102" s="456"/>
      <c r="N102" s="456"/>
      <c r="O102" s="456"/>
      <c r="P102" s="456"/>
      <c r="Q102" s="456"/>
      <c r="R102" s="456"/>
    </row>
    <row r="103" spans="2:18" ht="15" thickBot="1">
      <c r="B103" s="658"/>
      <c r="C103" s="659"/>
      <c r="D103" s="456"/>
      <c r="E103" s="456"/>
      <c r="F103" s="456"/>
      <c r="G103" s="456"/>
      <c r="H103" s="456"/>
      <c r="I103" s="456"/>
      <c r="J103" s="456"/>
      <c r="K103" s="692"/>
      <c r="L103" s="456"/>
      <c r="M103" s="456"/>
      <c r="N103" s="456"/>
      <c r="O103" s="456"/>
      <c r="P103" s="456"/>
      <c r="Q103" s="456"/>
      <c r="R103" s="456"/>
    </row>
    <row r="104" spans="2:18" ht="15" customHeight="1" thickBot="1">
      <c r="B104" s="666" t="s">
        <v>48</v>
      </c>
      <c r="C104" s="667"/>
      <c r="D104" s="667"/>
      <c r="E104" s="668"/>
      <c r="F104" s="456"/>
      <c r="G104" s="456"/>
      <c r="H104" s="456"/>
      <c r="I104" s="456"/>
      <c r="J104" s="456"/>
      <c r="K104" s="692"/>
      <c r="L104" s="456"/>
      <c r="M104" s="456"/>
      <c r="N104" s="456"/>
      <c r="O104" s="456"/>
      <c r="P104" s="456"/>
      <c r="Q104" s="456"/>
      <c r="R104" s="456"/>
    </row>
    <row r="105" spans="2:18" ht="24.6" thickBot="1">
      <c r="B105" s="656" t="s">
        <v>49</v>
      </c>
      <c r="C105" s="662" t="s">
        <v>50</v>
      </c>
      <c r="D105" s="662" t="s">
        <v>51</v>
      </c>
      <c r="E105" s="662" t="s">
        <v>52</v>
      </c>
      <c r="F105" s="456"/>
      <c r="G105" s="456"/>
      <c r="H105" s="456"/>
      <c r="I105" s="456"/>
      <c r="J105" s="456"/>
      <c r="K105" s="692"/>
      <c r="L105" s="456"/>
      <c r="M105" s="456"/>
      <c r="N105" s="456"/>
      <c r="O105" s="456"/>
      <c r="P105" s="456"/>
      <c r="Q105" s="456"/>
      <c r="R105" s="456"/>
    </row>
    <row r="106" spans="2:18" ht="48.6" thickBot="1">
      <c r="B106" s="669">
        <v>42401</v>
      </c>
      <c r="C106" s="662">
        <v>0.01</v>
      </c>
      <c r="D106" s="670" t="s">
        <v>1142</v>
      </c>
      <c r="E106" s="662"/>
      <c r="F106" s="456"/>
      <c r="G106" s="456"/>
      <c r="H106" s="456"/>
      <c r="I106" s="456"/>
      <c r="J106" s="456"/>
      <c r="K106" s="692"/>
      <c r="L106" s="456"/>
      <c r="M106" s="456"/>
      <c r="N106" s="456"/>
      <c r="O106" s="456"/>
      <c r="P106" s="456"/>
      <c r="Q106" s="456"/>
      <c r="R106" s="456"/>
    </row>
    <row r="107" spans="2:18" ht="15" thickBot="1">
      <c r="B107" s="671"/>
      <c r="C107" s="672"/>
      <c r="D107" s="456"/>
      <c r="E107" s="456"/>
      <c r="F107" s="456"/>
      <c r="G107" s="456"/>
      <c r="H107" s="456"/>
      <c r="I107" s="456"/>
      <c r="J107" s="456"/>
      <c r="K107" s="692"/>
      <c r="L107" s="456"/>
      <c r="M107" s="456"/>
      <c r="N107" s="456"/>
      <c r="O107" s="456"/>
      <c r="P107" s="456"/>
      <c r="Q107" s="456"/>
      <c r="R107" s="456"/>
    </row>
    <row r="108" spans="2:18" ht="15" thickBot="1">
      <c r="B108" s="673" t="s">
        <v>54</v>
      </c>
      <c r="C108" s="674"/>
      <c r="D108" s="456"/>
      <c r="E108" s="456"/>
      <c r="F108" s="456"/>
      <c r="G108" s="456"/>
      <c r="H108" s="456"/>
      <c r="I108" s="456"/>
      <c r="J108" s="456"/>
      <c r="K108" s="692"/>
      <c r="L108" s="456"/>
      <c r="M108" s="456"/>
      <c r="N108" s="456"/>
      <c r="O108" s="456"/>
      <c r="P108" s="456"/>
      <c r="Q108" s="456"/>
      <c r="R108" s="456"/>
    </row>
    <row r="109" spans="2:18">
      <c r="B109" s="1774"/>
      <c r="C109" s="1775"/>
      <c r="D109" s="1775"/>
      <c r="E109" s="1775"/>
      <c r="F109" s="1775"/>
      <c r="G109" s="1776"/>
      <c r="H109" s="456"/>
      <c r="I109" s="456"/>
      <c r="J109" s="456"/>
      <c r="K109" s="692"/>
      <c r="L109" s="456"/>
      <c r="M109" s="456"/>
      <c r="N109" s="456"/>
      <c r="O109" s="456"/>
      <c r="P109" s="456"/>
      <c r="Q109" s="456"/>
      <c r="R109" s="456"/>
    </row>
    <row r="110" spans="2:18" ht="15" thickBot="1">
      <c r="B110" s="1777"/>
      <c r="C110" s="1778"/>
      <c r="D110" s="1778"/>
      <c r="E110" s="1778"/>
      <c r="F110" s="1778"/>
      <c r="G110" s="1779"/>
      <c r="H110" s="456"/>
      <c r="I110" s="456"/>
      <c r="J110" s="456"/>
      <c r="K110" s="692"/>
      <c r="L110" s="456"/>
      <c r="M110" s="456"/>
      <c r="N110" s="456"/>
      <c r="O110" s="456"/>
      <c r="P110" s="456"/>
      <c r="Q110" s="456"/>
      <c r="R110" s="456"/>
    </row>
    <row r="111" spans="2:18">
      <c r="B111" s="658"/>
      <c r="C111" s="659"/>
      <c r="D111" s="456"/>
      <c r="E111" s="456"/>
      <c r="F111" s="456"/>
      <c r="G111" s="456"/>
      <c r="H111" s="456"/>
      <c r="I111" s="456"/>
      <c r="J111" s="456"/>
      <c r="K111" s="692"/>
      <c r="L111" s="456"/>
      <c r="M111" s="456"/>
      <c r="N111" s="456"/>
      <c r="O111" s="456"/>
      <c r="P111" s="456"/>
      <c r="Q111" s="456"/>
      <c r="R111" s="456"/>
    </row>
    <row r="112" spans="2:18" ht="15" thickBot="1">
      <c r="B112" s="456"/>
      <c r="C112" s="637"/>
      <c r="D112" s="456"/>
      <c r="E112" s="456"/>
      <c r="F112" s="456"/>
      <c r="G112" s="456"/>
      <c r="H112" s="456"/>
      <c r="I112" s="456"/>
      <c r="J112" s="456"/>
      <c r="K112" s="692"/>
      <c r="L112" s="456"/>
      <c r="M112" s="456"/>
      <c r="N112" s="456"/>
      <c r="O112" s="456"/>
      <c r="P112" s="456"/>
      <c r="Q112" s="456"/>
      <c r="R112" s="456"/>
    </row>
    <row r="113" spans="2:18" ht="24.6" thickBot="1">
      <c r="B113" s="675" t="s">
        <v>55</v>
      </c>
      <c r="C113" s="676"/>
      <c r="D113" s="456"/>
      <c r="E113" s="456"/>
      <c r="F113" s="456"/>
      <c r="G113" s="456"/>
      <c r="H113" s="456"/>
      <c r="I113" s="456"/>
      <c r="J113" s="456"/>
      <c r="K113" s="692"/>
      <c r="L113" s="456"/>
      <c r="M113" s="456"/>
      <c r="N113" s="456"/>
      <c r="O113" s="456"/>
      <c r="P113" s="456"/>
      <c r="Q113" s="456"/>
      <c r="R113" s="456"/>
    </row>
    <row r="114" spans="2:18" ht="15" thickBot="1">
      <c r="B114" s="664"/>
      <c r="C114" s="677"/>
      <c r="D114" s="456"/>
      <c r="E114" s="456"/>
      <c r="F114" s="456"/>
      <c r="G114" s="456"/>
      <c r="H114" s="456"/>
      <c r="I114" s="456"/>
      <c r="J114" s="456"/>
      <c r="K114" s="692"/>
      <c r="L114" s="456"/>
      <c r="M114" s="456"/>
      <c r="N114" s="456"/>
      <c r="O114" s="456"/>
      <c r="P114" s="456"/>
      <c r="Q114" s="456"/>
      <c r="R114" s="456"/>
    </row>
    <row r="115" spans="2:18" ht="48.6" thickBot="1">
      <c r="B115" s="678" t="s">
        <v>56</v>
      </c>
      <c r="C115" s="679"/>
      <c r="D115" s="680" t="s">
        <v>1110</v>
      </c>
      <c r="E115" s="456"/>
      <c r="F115" s="456"/>
      <c r="G115" s="456"/>
      <c r="H115" s="456"/>
      <c r="I115" s="456"/>
      <c r="J115" s="456"/>
      <c r="K115" s="692"/>
      <c r="L115" s="456"/>
      <c r="M115" s="456"/>
      <c r="N115" s="456"/>
      <c r="O115" s="456"/>
      <c r="P115" s="456"/>
      <c r="Q115" s="456"/>
      <c r="R115" s="456"/>
    </row>
    <row r="116" spans="2:18">
      <c r="B116" s="1765" t="s">
        <v>58</v>
      </c>
      <c r="C116" s="660"/>
      <c r="D116" s="681" t="s">
        <v>59</v>
      </c>
      <c r="E116" s="456"/>
      <c r="F116" s="456"/>
      <c r="G116" s="456"/>
      <c r="H116" s="456"/>
      <c r="I116" s="456"/>
      <c r="J116" s="456"/>
      <c r="K116" s="692"/>
      <c r="L116" s="456"/>
      <c r="M116" s="456"/>
      <c r="N116" s="456"/>
      <c r="O116" s="456"/>
      <c r="P116" s="456"/>
      <c r="Q116" s="456"/>
      <c r="R116" s="456"/>
    </row>
    <row r="117" spans="2:18" ht="60">
      <c r="B117" s="1770"/>
      <c r="C117" s="660"/>
      <c r="D117" s="682" t="s">
        <v>1111</v>
      </c>
      <c r="E117" s="456"/>
      <c r="F117" s="456"/>
      <c r="G117" s="456"/>
      <c r="H117" s="456"/>
      <c r="I117" s="456"/>
      <c r="J117" s="456"/>
      <c r="K117" s="692"/>
      <c r="L117" s="456"/>
      <c r="M117" s="456"/>
      <c r="N117" s="456"/>
      <c r="O117" s="456"/>
      <c r="P117" s="456"/>
      <c r="Q117" s="456"/>
      <c r="R117" s="456"/>
    </row>
    <row r="118" spans="2:18">
      <c r="B118" s="1770"/>
      <c r="C118" s="660"/>
      <c r="D118" s="681" t="s">
        <v>62</v>
      </c>
      <c r="E118" s="456"/>
      <c r="F118" s="456"/>
      <c r="G118" s="456"/>
      <c r="H118" s="456"/>
      <c r="I118" s="456"/>
      <c r="J118" s="456"/>
      <c r="K118" s="692"/>
      <c r="L118" s="456"/>
      <c r="M118" s="456"/>
      <c r="N118" s="456"/>
      <c r="O118" s="456"/>
      <c r="P118" s="456"/>
      <c r="Q118" s="456"/>
      <c r="R118" s="456"/>
    </row>
    <row r="119" spans="2:18">
      <c r="B119" s="1770"/>
      <c r="C119" s="660"/>
      <c r="D119" s="682" t="s">
        <v>1112</v>
      </c>
      <c r="E119" s="456"/>
      <c r="F119" s="456"/>
      <c r="G119" s="456"/>
      <c r="H119" s="456"/>
      <c r="I119" s="456"/>
      <c r="J119" s="456"/>
      <c r="K119" s="692"/>
      <c r="L119" s="456"/>
      <c r="M119" s="456"/>
      <c r="N119" s="456"/>
      <c r="O119" s="456"/>
      <c r="P119" s="456"/>
      <c r="Q119" s="456"/>
      <c r="R119" s="456"/>
    </row>
    <row r="120" spans="2:18">
      <c r="B120" s="1770"/>
      <c r="C120" s="660"/>
      <c r="D120" s="682" t="s">
        <v>64</v>
      </c>
      <c r="E120" s="456"/>
      <c r="F120" s="456"/>
      <c r="G120" s="456"/>
      <c r="H120" s="456"/>
      <c r="I120" s="456"/>
      <c r="J120" s="456"/>
      <c r="K120" s="692"/>
      <c r="L120" s="456"/>
      <c r="M120" s="456"/>
      <c r="N120" s="456"/>
      <c r="O120" s="456"/>
      <c r="P120" s="456"/>
      <c r="Q120" s="456"/>
      <c r="R120" s="456"/>
    </row>
    <row r="121" spans="2:18">
      <c r="B121" s="1770"/>
      <c r="C121" s="660"/>
      <c r="D121" s="681" t="s">
        <v>287</v>
      </c>
      <c r="E121" s="456"/>
      <c r="F121" s="456"/>
      <c r="G121" s="456"/>
      <c r="H121" s="456"/>
      <c r="I121" s="456"/>
      <c r="J121" s="456"/>
      <c r="K121" s="692"/>
      <c r="L121" s="456"/>
      <c r="M121" s="456"/>
      <c r="N121" s="456"/>
      <c r="O121" s="456"/>
      <c r="P121" s="456"/>
      <c r="Q121" s="456"/>
      <c r="R121" s="456"/>
    </row>
    <row r="122" spans="2:18" ht="15" thickBot="1">
      <c r="B122" s="1766"/>
      <c r="C122" s="458"/>
      <c r="D122" s="662" t="s">
        <v>1113</v>
      </c>
      <c r="E122" s="456"/>
      <c r="F122" s="456"/>
      <c r="G122" s="456"/>
      <c r="H122" s="456"/>
      <c r="I122" s="456"/>
      <c r="J122" s="456"/>
      <c r="K122" s="692"/>
      <c r="L122" s="456"/>
      <c r="M122" s="456"/>
      <c r="N122" s="456"/>
      <c r="O122" s="456"/>
      <c r="P122" s="456"/>
      <c r="Q122" s="456"/>
      <c r="R122" s="456"/>
    </row>
    <row r="123" spans="2:18">
      <c r="B123" s="1765" t="s">
        <v>71</v>
      </c>
      <c r="C123" s="683"/>
      <c r="D123" s="1765"/>
      <c r="E123" s="456"/>
      <c r="F123" s="456"/>
      <c r="G123" s="456"/>
      <c r="H123" s="456"/>
      <c r="I123" s="456"/>
      <c r="J123" s="456"/>
      <c r="K123" s="692"/>
      <c r="L123" s="456"/>
      <c r="M123" s="456"/>
      <c r="N123" s="456"/>
      <c r="O123" s="456"/>
      <c r="P123" s="456"/>
      <c r="Q123" s="456"/>
      <c r="R123" s="456"/>
    </row>
    <row r="124" spans="2:18" ht="15" thickBot="1">
      <c r="B124" s="1766"/>
      <c r="C124" s="684"/>
      <c r="D124" s="1766"/>
      <c r="E124" s="456"/>
      <c r="F124" s="456"/>
      <c r="G124" s="456"/>
      <c r="H124" s="456"/>
      <c r="I124" s="456"/>
      <c r="J124" s="456"/>
      <c r="K124" s="692"/>
      <c r="L124" s="456"/>
      <c r="M124" s="456"/>
      <c r="N124" s="456"/>
      <c r="O124" s="456"/>
      <c r="P124" s="456"/>
      <c r="Q124" s="456"/>
      <c r="R124" s="456"/>
    </row>
    <row r="125" spans="2:18" ht="72">
      <c r="B125" s="1765" t="s">
        <v>72</v>
      </c>
      <c r="C125" s="660"/>
      <c r="D125" s="682" t="s">
        <v>1114</v>
      </c>
      <c r="E125" s="456"/>
      <c r="F125" s="456"/>
      <c r="G125" s="456"/>
      <c r="H125" s="456"/>
      <c r="I125" s="456"/>
      <c r="J125" s="456"/>
      <c r="K125" s="692"/>
      <c r="L125" s="456"/>
      <c r="M125" s="456"/>
      <c r="N125" s="456"/>
      <c r="O125" s="456"/>
      <c r="P125" s="456"/>
      <c r="Q125" s="456"/>
      <c r="R125" s="456"/>
    </row>
    <row r="126" spans="2:18" ht="156">
      <c r="B126" s="1770"/>
      <c r="C126" s="660"/>
      <c r="D126" s="682" t="s">
        <v>1115</v>
      </c>
      <c r="E126" s="456"/>
      <c r="F126" s="456"/>
      <c r="G126" s="456"/>
      <c r="H126" s="456"/>
      <c r="I126" s="456"/>
      <c r="J126" s="456"/>
      <c r="K126" s="692"/>
      <c r="L126" s="456"/>
      <c r="M126" s="456"/>
      <c r="N126" s="456"/>
      <c r="O126" s="456"/>
      <c r="P126" s="456"/>
      <c r="Q126" s="456"/>
      <c r="R126" s="456"/>
    </row>
    <row r="127" spans="2:18" ht="168">
      <c r="B127" s="1770"/>
      <c r="C127" s="660"/>
      <c r="D127" s="682" t="s">
        <v>1116</v>
      </c>
      <c r="E127" s="456"/>
      <c r="F127" s="456"/>
      <c r="G127" s="456"/>
      <c r="H127" s="456"/>
      <c r="I127" s="456"/>
      <c r="J127" s="456"/>
      <c r="K127" s="692"/>
    </row>
    <row r="128" spans="2:18" ht="72">
      <c r="B128" s="1770"/>
      <c r="C128" s="660"/>
      <c r="D128" s="682" t="s">
        <v>1117</v>
      </c>
      <c r="E128" s="456"/>
      <c r="F128" s="456"/>
      <c r="G128" s="456"/>
      <c r="H128" s="456"/>
      <c r="I128" s="456"/>
      <c r="J128" s="456"/>
      <c r="K128" s="692"/>
    </row>
    <row r="129" spans="2:11" ht="24">
      <c r="B129" s="1770"/>
      <c r="C129" s="660"/>
      <c r="D129" s="682" t="s">
        <v>1118</v>
      </c>
      <c r="E129" s="456"/>
      <c r="F129" s="456"/>
      <c r="G129" s="456"/>
      <c r="H129" s="456"/>
      <c r="I129" s="456"/>
      <c r="J129" s="456"/>
      <c r="K129" s="692"/>
    </row>
    <row r="130" spans="2:11" ht="24">
      <c r="B130" s="1770"/>
      <c r="C130" s="660"/>
      <c r="D130" s="682" t="s">
        <v>1119</v>
      </c>
      <c r="E130" s="456"/>
      <c r="F130" s="456"/>
      <c r="G130" s="456"/>
      <c r="H130" s="456"/>
      <c r="I130" s="456"/>
      <c r="J130" s="456"/>
      <c r="K130" s="692"/>
    </row>
    <row r="131" spans="2:11" ht="24">
      <c r="B131" s="1770"/>
      <c r="C131" s="660"/>
      <c r="D131" s="682" t="s">
        <v>1120</v>
      </c>
      <c r="E131" s="456"/>
      <c r="F131" s="456"/>
      <c r="G131" s="456"/>
      <c r="H131" s="456"/>
      <c r="I131" s="456"/>
      <c r="J131" s="456"/>
      <c r="K131" s="692"/>
    </row>
    <row r="132" spans="2:11">
      <c r="B132" s="1770"/>
      <c r="C132" s="660"/>
      <c r="D132" s="682" t="s">
        <v>1121</v>
      </c>
      <c r="E132" s="456"/>
      <c r="F132" s="456"/>
      <c r="G132" s="456"/>
      <c r="H132" s="456"/>
      <c r="I132" s="456"/>
      <c r="J132" s="456"/>
      <c r="K132" s="692"/>
    </row>
    <row r="133" spans="2:11" ht="24">
      <c r="B133" s="1770"/>
      <c r="C133" s="660"/>
      <c r="D133" s="682" t="s">
        <v>1122</v>
      </c>
      <c r="E133" s="456"/>
      <c r="F133" s="456"/>
      <c r="G133" s="456"/>
      <c r="H133" s="456"/>
      <c r="I133" s="456"/>
      <c r="J133" s="456"/>
      <c r="K133" s="692"/>
    </row>
    <row r="134" spans="2:11" ht="24">
      <c r="B134" s="1770"/>
      <c r="C134" s="660"/>
      <c r="D134" s="682" t="s">
        <v>1123</v>
      </c>
      <c r="E134" s="456"/>
      <c r="F134" s="456"/>
      <c r="G134" s="456"/>
      <c r="H134" s="456"/>
      <c r="I134" s="456"/>
      <c r="J134" s="456"/>
      <c r="K134" s="692"/>
    </row>
    <row r="135" spans="2:11" ht="48.6" thickBot="1">
      <c r="B135" s="1766"/>
      <c r="C135" s="458"/>
      <c r="D135" s="662" t="s">
        <v>1124</v>
      </c>
      <c r="E135" s="456"/>
      <c r="F135" s="456"/>
      <c r="G135" s="456"/>
      <c r="H135" s="456"/>
      <c r="I135" s="456"/>
      <c r="J135" s="456"/>
      <c r="K135" s="692"/>
    </row>
    <row r="136" spans="2:11" ht="24">
      <c r="B136" s="1765" t="s">
        <v>89</v>
      </c>
      <c r="C136" s="660"/>
      <c r="D136" s="681" t="s">
        <v>1125</v>
      </c>
      <c r="E136" s="456"/>
      <c r="F136" s="456"/>
      <c r="G136" s="456"/>
      <c r="H136" s="456"/>
      <c r="I136" s="456"/>
      <c r="J136" s="456"/>
      <c r="K136" s="692"/>
    </row>
    <row r="137" spans="2:11">
      <c r="B137" s="1770"/>
      <c r="C137" s="660"/>
      <c r="D137" s="685"/>
      <c r="E137" s="456"/>
      <c r="F137" s="456"/>
      <c r="G137" s="456"/>
      <c r="H137" s="456"/>
      <c r="I137" s="456"/>
      <c r="J137" s="456"/>
      <c r="K137" s="692"/>
    </row>
    <row r="138" spans="2:11">
      <c r="B138" s="1770"/>
      <c r="C138" s="660"/>
      <c r="D138" s="682" t="s">
        <v>90</v>
      </c>
      <c r="E138" s="456"/>
      <c r="F138" s="456"/>
      <c r="G138" s="456"/>
      <c r="H138" s="456"/>
      <c r="I138" s="456"/>
      <c r="J138" s="456"/>
      <c r="K138" s="692"/>
    </row>
    <row r="139" spans="2:11" ht="26.4">
      <c r="B139" s="1770"/>
      <c r="C139" s="660"/>
      <c r="D139" s="682" t="s">
        <v>1126</v>
      </c>
      <c r="E139" s="456"/>
      <c r="F139" s="456"/>
      <c r="G139" s="456"/>
      <c r="H139" s="456"/>
      <c r="I139" s="456"/>
      <c r="J139" s="456"/>
      <c r="K139" s="692"/>
    </row>
    <row r="140" spans="2:11" ht="26.4">
      <c r="B140" s="1770"/>
      <c r="C140" s="660"/>
      <c r="D140" s="682" t="s">
        <v>1127</v>
      </c>
      <c r="E140" s="456"/>
      <c r="F140" s="456"/>
      <c r="G140" s="456"/>
      <c r="H140" s="456"/>
      <c r="I140" s="456"/>
      <c r="J140" s="456"/>
      <c r="K140" s="692"/>
    </row>
    <row r="141" spans="2:11" ht="26.4">
      <c r="B141" s="1770"/>
      <c r="C141" s="660"/>
      <c r="D141" s="682" t="s">
        <v>1128</v>
      </c>
      <c r="E141" s="456"/>
      <c r="F141" s="456"/>
      <c r="G141" s="456"/>
      <c r="H141" s="456"/>
      <c r="I141" s="456"/>
      <c r="J141" s="456"/>
      <c r="K141" s="692"/>
    </row>
    <row r="142" spans="2:11" ht="26.4">
      <c r="B142" s="1770"/>
      <c r="C142" s="660"/>
      <c r="D142" s="682" t="s">
        <v>1129</v>
      </c>
      <c r="E142" s="456"/>
      <c r="F142" s="456"/>
      <c r="G142" s="456"/>
      <c r="H142" s="456"/>
      <c r="I142" s="456"/>
      <c r="J142" s="456"/>
      <c r="K142" s="692"/>
    </row>
    <row r="143" spans="2:11">
      <c r="B143" s="1770"/>
      <c r="C143" s="660"/>
      <c r="D143" s="682" t="s">
        <v>1130</v>
      </c>
      <c r="E143" s="456"/>
      <c r="F143" s="456"/>
      <c r="G143" s="456"/>
      <c r="H143" s="456"/>
      <c r="I143" s="456"/>
      <c r="J143" s="456"/>
      <c r="K143" s="692"/>
    </row>
    <row r="144" spans="2:11">
      <c r="B144" s="1770"/>
      <c r="C144" s="660"/>
      <c r="D144" s="682" t="s">
        <v>1131</v>
      </c>
      <c r="E144" s="456"/>
      <c r="F144" s="456"/>
      <c r="G144" s="456"/>
      <c r="H144" s="456"/>
      <c r="I144" s="456"/>
      <c r="J144" s="456"/>
      <c r="K144" s="692"/>
    </row>
    <row r="145" spans="2:11">
      <c r="B145" s="1770"/>
      <c r="C145" s="660"/>
      <c r="D145" s="682" t="s">
        <v>1132</v>
      </c>
      <c r="E145" s="456"/>
      <c r="F145" s="456"/>
      <c r="G145" s="456"/>
      <c r="H145" s="456"/>
      <c r="I145" s="456"/>
      <c r="J145" s="456"/>
      <c r="K145" s="692"/>
    </row>
    <row r="146" spans="2:11">
      <c r="B146" s="1770"/>
      <c r="C146" s="660"/>
      <c r="D146" s="682" t="s">
        <v>813</v>
      </c>
      <c r="E146" s="456"/>
      <c r="F146" s="456"/>
      <c r="G146" s="456"/>
      <c r="H146" s="456"/>
      <c r="I146" s="456"/>
      <c r="J146" s="456"/>
      <c r="K146" s="692"/>
    </row>
    <row r="147" spans="2:11" ht="60">
      <c r="B147" s="1770"/>
      <c r="C147" s="660"/>
      <c r="D147" s="686" t="s">
        <v>234</v>
      </c>
      <c r="E147" s="456"/>
      <c r="F147" s="456"/>
      <c r="G147" s="456"/>
      <c r="H147" s="456"/>
      <c r="I147" s="456"/>
      <c r="J147" s="456"/>
      <c r="K147" s="692"/>
    </row>
    <row r="148" spans="2:11">
      <c r="B148" s="1770"/>
      <c r="C148" s="660"/>
      <c r="D148" s="682" t="s">
        <v>245</v>
      </c>
      <c r="E148" s="456"/>
      <c r="F148" s="456"/>
      <c r="G148" s="456"/>
      <c r="H148" s="456"/>
      <c r="I148" s="456"/>
      <c r="J148" s="456"/>
      <c r="K148" s="692"/>
    </row>
    <row r="149" spans="2:11" ht="24">
      <c r="B149" s="1770"/>
      <c r="C149" s="660"/>
      <c r="D149" s="681" t="s">
        <v>1133</v>
      </c>
      <c r="E149" s="456"/>
      <c r="F149" s="456"/>
      <c r="G149" s="456"/>
      <c r="H149" s="456"/>
      <c r="I149" s="456"/>
      <c r="J149" s="456"/>
      <c r="K149" s="692"/>
    </row>
    <row r="150" spans="2:11">
      <c r="B150" s="1770"/>
      <c r="C150" s="660"/>
      <c r="D150" s="685"/>
      <c r="E150" s="456"/>
      <c r="F150" s="456"/>
      <c r="G150" s="456"/>
      <c r="H150" s="456"/>
      <c r="I150" s="456"/>
      <c r="J150" s="456"/>
      <c r="K150" s="692"/>
    </row>
    <row r="151" spans="2:11">
      <c r="B151" s="1770"/>
      <c r="C151" s="660"/>
      <c r="D151" s="682" t="s">
        <v>90</v>
      </c>
      <c r="E151" s="456"/>
      <c r="F151" s="456"/>
      <c r="G151" s="456"/>
      <c r="H151" s="456"/>
      <c r="I151" s="456"/>
      <c r="J151" s="456"/>
      <c r="K151" s="692"/>
    </row>
    <row r="152" spans="2:11" ht="26.4">
      <c r="B152" s="1770"/>
      <c r="C152" s="660"/>
      <c r="D152" s="682" t="s">
        <v>1134</v>
      </c>
      <c r="E152" s="456"/>
      <c r="F152" s="456"/>
      <c r="G152" s="456"/>
      <c r="H152" s="456"/>
      <c r="I152" s="456"/>
      <c r="J152" s="456"/>
      <c r="K152" s="692"/>
    </row>
    <row r="153" spans="2:11" ht="26.4">
      <c r="B153" s="1770"/>
      <c r="C153" s="660"/>
      <c r="D153" s="682" t="s">
        <v>1135</v>
      </c>
      <c r="E153" s="456"/>
      <c r="F153" s="456"/>
      <c r="G153" s="456"/>
      <c r="H153" s="456"/>
      <c r="I153" s="456"/>
      <c r="J153" s="456"/>
      <c r="K153" s="692"/>
    </row>
    <row r="154" spans="2:11" ht="27" thickBot="1">
      <c r="B154" s="1766"/>
      <c r="C154" s="458"/>
      <c r="D154" s="662" t="s">
        <v>1136</v>
      </c>
      <c r="E154" s="456"/>
      <c r="F154" s="456"/>
      <c r="G154" s="456"/>
      <c r="H154" s="456"/>
      <c r="I154" s="456"/>
      <c r="J154" s="456"/>
      <c r="K154" s="692"/>
    </row>
    <row r="155" spans="2:11">
      <c r="B155" s="456"/>
      <c r="C155" s="637"/>
      <c r="D155" s="456"/>
      <c r="E155" s="456"/>
      <c r="F155" s="456"/>
      <c r="G155" s="456"/>
      <c r="H155" s="456"/>
      <c r="I155" s="456"/>
      <c r="J155" s="456"/>
      <c r="K155" s="692"/>
    </row>
    <row r="156" spans="2:11" s="456" customFormat="1">
      <c r="C156" s="637"/>
      <c r="K156" s="692"/>
    </row>
    <row r="157" spans="2:11" s="456" customFormat="1">
      <c r="C157" s="637"/>
      <c r="K157" s="692"/>
    </row>
    <row r="158" spans="2:11" s="456" customFormat="1">
      <c r="C158" s="637"/>
      <c r="K158" s="692"/>
    </row>
    <row r="159" spans="2:11" s="456" customFormat="1">
      <c r="C159" s="637"/>
      <c r="K159" s="692"/>
    </row>
    <row r="160" spans="2:11" s="456" customFormat="1">
      <c r="C160" s="637"/>
      <c r="K160" s="692"/>
    </row>
    <row r="161" spans="3:11" s="456" customFormat="1">
      <c r="C161" s="637"/>
      <c r="K161" s="692"/>
    </row>
    <row r="162" spans="3:11" s="456" customFormat="1">
      <c r="C162" s="637"/>
      <c r="K162" s="692"/>
    </row>
    <row r="163" spans="3:11" s="456" customFormat="1">
      <c r="C163" s="637"/>
      <c r="K163" s="692"/>
    </row>
    <row r="164" spans="3:11" s="456" customFormat="1">
      <c r="C164" s="637"/>
      <c r="K164" s="692"/>
    </row>
  </sheetData>
  <sheetProtection formatCells="0" formatRows="0" insertColumns="0" insertRows="0" deleteColumns="0" deleteRows="0"/>
  <mergeCells count="65">
    <mergeCell ref="A1:P1"/>
    <mergeCell ref="A2:P2"/>
    <mergeCell ref="A3:P3"/>
    <mergeCell ref="A4:D4"/>
    <mergeCell ref="A5:P5"/>
    <mergeCell ref="B10:D10"/>
    <mergeCell ref="F10:S10"/>
    <mergeCell ref="F11:S11"/>
    <mergeCell ref="E12:R12"/>
    <mergeCell ref="E13:R13"/>
    <mergeCell ref="B125:B135"/>
    <mergeCell ref="B136:B154"/>
    <mergeCell ref="B109:G110"/>
    <mergeCell ref="D51:K51"/>
    <mergeCell ref="F53:G53"/>
    <mergeCell ref="E54:E55"/>
    <mergeCell ref="F54:F55"/>
    <mergeCell ref="D52:K52"/>
    <mergeCell ref="D83:K83"/>
    <mergeCell ref="D84:K84"/>
    <mergeCell ref="B86:E86"/>
    <mergeCell ref="B87:B93"/>
    <mergeCell ref="B15:B82"/>
    <mergeCell ref="D15:K15"/>
    <mergeCell ref="D20:K20"/>
    <mergeCell ref="B116:B122"/>
    <mergeCell ref="B123:B124"/>
    <mergeCell ref="D123:D124"/>
    <mergeCell ref="C53:C55"/>
    <mergeCell ref="D53:D55"/>
    <mergeCell ref="B96:B102"/>
    <mergeCell ref="B95:E95"/>
    <mergeCell ref="D21:K21"/>
    <mergeCell ref="D22:D23"/>
    <mergeCell ref="E22:F22"/>
    <mergeCell ref="G22:J22"/>
    <mergeCell ref="C22:C23"/>
    <mergeCell ref="H54:I55"/>
    <mergeCell ref="H53:I53"/>
    <mergeCell ref="H56:I56"/>
    <mergeCell ref="H57:I57"/>
    <mergeCell ref="H58:I58"/>
    <mergeCell ref="H59:I59"/>
    <mergeCell ref="H60:I60"/>
    <mergeCell ref="H61:I61"/>
    <mergeCell ref="H62:I62"/>
    <mergeCell ref="H63:I63"/>
    <mergeCell ref="H64:I64"/>
    <mergeCell ref="H65:I65"/>
    <mergeCell ref="H66:I66"/>
    <mergeCell ref="H67:I67"/>
    <mergeCell ref="H68:I68"/>
    <mergeCell ref="H69:I69"/>
    <mergeCell ref="H70:I70"/>
    <mergeCell ref="H71:I71"/>
    <mergeCell ref="H72:I72"/>
    <mergeCell ref="H73:I73"/>
    <mergeCell ref="H79:I79"/>
    <mergeCell ref="H81:I81"/>
    <mergeCell ref="H82:I82"/>
    <mergeCell ref="H74:I74"/>
    <mergeCell ref="H75:I75"/>
    <mergeCell ref="H76:I76"/>
    <mergeCell ref="H77:I77"/>
    <mergeCell ref="H78:I78"/>
  </mergeCells>
  <phoneticPr fontId="43" type="noConversion"/>
  <conditionalFormatting sqref="D82">
    <cfRule type="containsText" dxfId="11" priority="5" operator="containsText" text="ERROR">
      <formula>NOT(ISERROR(SEARCH("ERROR",D82)))</formula>
    </cfRule>
  </conditionalFormatting>
  <conditionalFormatting sqref="E12:R12">
    <cfRule type="expression" dxfId="10" priority="1">
      <formula>E11="SI SE REPORTA"</formula>
    </cfRule>
  </conditionalFormatting>
  <conditionalFormatting sqref="F10">
    <cfRule type="notContainsBlanks" dxfId="9" priority="4">
      <formula>LEN(TRIM(F10))&gt;0</formula>
    </cfRule>
  </conditionalFormatting>
  <conditionalFormatting sqref="F11:S11">
    <cfRule type="expression" dxfId="8" priority="2">
      <formula>E11="NO SE REPORTA"</formula>
    </cfRule>
    <cfRule type="expression" dxfId="7" priority="3">
      <formula>E10="NO APLICA"</formula>
    </cfRule>
  </conditionalFormatting>
  <dataValidations count="6">
    <dataValidation type="whole" operator="greaterThanOrEqual" allowBlank="1" showErrorMessage="1" errorTitle="ERROR" error="Escriba un número igual o mayor que 0" promptTitle="ERROR" prompt="Escriba un número igual o mayor que 0" sqref="E17:H17" xr:uid="{00000000-0002-0000-1F00-000000000000}">
      <formula1>0</formula1>
    </dataValidation>
    <dataValidation type="whole" operator="greaterThanOrEqual" allowBlank="1" showInputMessage="1" showErrorMessage="1" errorTitle="ERROR" error="Valor en PESOS (sin centavos)" sqref="E18:H19" xr:uid="{00000000-0002-0000-1F00-000001000000}">
      <formula1>0</formula1>
    </dataValidation>
    <dataValidation type="decimal" allowBlank="1" showInputMessage="1" showErrorMessage="1" errorTitle="ERROR" error="Escriba un valor entre 0% y 100%" sqref="D56:D81" xr:uid="{00000000-0002-0000-1F00-000002000000}">
      <formula1>0</formula1>
      <formula2>1</formula2>
    </dataValidation>
    <dataValidation allowBlank="1" showInputMessage="1" showErrorMessage="1" sqref="D82 G50:J50 E56:G82" xr:uid="{00000000-0002-0000-1F00-000003000000}"/>
    <dataValidation type="list" allowBlank="1" showInputMessage="1" showErrorMessage="1" sqref="E11" xr:uid="{00000000-0002-0000-1F00-000004000000}">
      <formula1>REPORTE</formula1>
    </dataValidation>
    <dataValidation type="list" allowBlank="1" showInputMessage="1" showErrorMessage="1" sqref="E10" xr:uid="{00000000-0002-0000-1F00-000005000000}">
      <formula1>SI</formula1>
    </dataValidation>
  </dataValidations>
  <hyperlinks>
    <hyperlink ref="B9" location="'ANEXO 3'!A1" display="VOLVER AL INDICE" xr:uid="{00000000-0004-0000-1F00-000000000000}"/>
    <hyperlink ref="E91" r:id="rId1" xr:uid="{00000000-0004-0000-1F00-000001000000}"/>
  </hyperlinks>
  <pageMargins left="0.25" right="0.25" top="0.75" bottom="0.75" header="0.3" footer="0.3"/>
  <pageSetup paperSize="178" orientation="landscape" horizontalDpi="1200" verticalDpi="1200" r:id="rId2"/>
  <drawing r:id="rId3"/>
  <legacy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8"/>
  <dimension ref="A1:C28"/>
  <sheetViews>
    <sheetView showGridLines="0" zoomScale="98" zoomScaleNormal="98" workbookViewId="0">
      <selection activeCell="C7" sqref="C7"/>
    </sheetView>
  </sheetViews>
  <sheetFormatPr baseColWidth="10" defaultRowHeight="14.4"/>
  <cols>
    <col min="1" max="1" width="8.109375" bestFit="1" customWidth="1"/>
    <col min="2" max="2" width="12.88671875" bestFit="1" customWidth="1"/>
    <col min="3" max="3" width="68.88671875" customWidth="1"/>
  </cols>
  <sheetData>
    <row r="1" spans="1:3">
      <c r="A1" s="310" t="s">
        <v>1181</v>
      </c>
    </row>
    <row r="3" spans="1:3">
      <c r="B3" s="147" t="s">
        <v>1179</v>
      </c>
    </row>
    <row r="5" spans="1:3">
      <c r="B5" s="108"/>
      <c r="C5" s="146"/>
    </row>
    <row r="6" spans="1:3">
      <c r="A6" s="132" t="s">
        <v>1177</v>
      </c>
      <c r="B6" s="132" t="s">
        <v>1178</v>
      </c>
      <c r="C6" s="132" t="s">
        <v>1176</v>
      </c>
    </row>
    <row r="7" spans="1:3">
      <c r="A7" s="308"/>
      <c r="B7" s="308"/>
      <c r="C7" s="309"/>
    </row>
    <row r="8" spans="1:3">
      <c r="A8" s="308"/>
      <c r="B8" s="308"/>
      <c r="C8" s="309"/>
    </row>
    <row r="9" spans="1:3">
      <c r="A9" s="308"/>
      <c r="B9" s="308"/>
      <c r="C9" s="309"/>
    </row>
    <row r="10" spans="1:3">
      <c r="A10" s="308"/>
      <c r="B10" s="308"/>
      <c r="C10" s="309"/>
    </row>
    <row r="11" spans="1:3">
      <c r="A11" s="308"/>
      <c r="B11" s="308"/>
      <c r="C11" s="309"/>
    </row>
    <row r="12" spans="1:3">
      <c r="A12" s="308"/>
      <c r="B12" s="308"/>
      <c r="C12" s="309"/>
    </row>
    <row r="13" spans="1:3">
      <c r="A13" s="308"/>
      <c r="B13" s="308"/>
      <c r="C13" s="309"/>
    </row>
    <row r="14" spans="1:3">
      <c r="A14" s="308"/>
      <c r="B14" s="308"/>
      <c r="C14" s="309"/>
    </row>
    <row r="15" spans="1:3">
      <c r="A15" s="308"/>
      <c r="B15" s="308"/>
      <c r="C15" s="309"/>
    </row>
    <row r="16" spans="1:3">
      <c r="A16" s="308"/>
      <c r="B16" s="308"/>
      <c r="C16" s="309"/>
    </row>
    <row r="17" spans="1:3">
      <c r="A17" s="308"/>
      <c r="B17" s="308"/>
      <c r="C17" s="309"/>
    </row>
    <row r="18" spans="1:3">
      <c r="A18" s="308"/>
      <c r="B18" s="308"/>
      <c r="C18" s="309"/>
    </row>
    <row r="19" spans="1:3">
      <c r="A19" s="308"/>
      <c r="B19" s="308"/>
      <c r="C19" s="309"/>
    </row>
    <row r="20" spans="1:3">
      <c r="A20" s="308"/>
      <c r="B20" s="308"/>
      <c r="C20" s="309"/>
    </row>
    <row r="21" spans="1:3">
      <c r="A21" s="308"/>
      <c r="B21" s="308"/>
      <c r="C21" s="309"/>
    </row>
    <row r="22" spans="1:3">
      <c r="A22" s="308"/>
      <c r="B22" s="308"/>
      <c r="C22" s="309"/>
    </row>
    <row r="23" spans="1:3">
      <c r="A23" s="308"/>
      <c r="B23" s="308"/>
      <c r="C23" s="309"/>
    </row>
    <row r="24" spans="1:3">
      <c r="A24" s="308"/>
      <c r="B24" s="308"/>
      <c r="C24" s="309"/>
    </row>
    <row r="25" spans="1:3">
      <c r="A25" s="308"/>
      <c r="B25" s="308"/>
      <c r="C25" s="309"/>
    </row>
    <row r="26" spans="1:3">
      <c r="A26" s="308"/>
      <c r="B26" s="308"/>
      <c r="C26" s="309"/>
    </row>
    <row r="27" spans="1:3">
      <c r="A27" s="308"/>
      <c r="B27" s="308"/>
      <c r="C27" s="309"/>
    </row>
    <row r="28" spans="1:3">
      <c r="A28" s="308"/>
      <c r="B28" s="308"/>
      <c r="C28" s="309"/>
    </row>
  </sheetData>
  <sheetProtection algorithmName="SHA-512" hashValue="LsnBJXmF304FiPr1vA0a5rRfeZFGbgpnlSc9fTyRIFlPev88PLUPhKsvVS+n3OoPIPMczgV6lZGm4lrL5GD64A==" saltValue="gNzDjeN2t6lPfjcwAmMMFw==" spinCount="100000" sheet="1" objects="1" scenarios="1" insertHyperlinks="0" selectLockedCells="1"/>
  <hyperlinks>
    <hyperlink ref="A1" location="'ANEXO 3'!A1" display="VOLVER AL INDICE" xr:uid="{00000000-0004-0000-2000-000000000000}"/>
  </hyperlinks>
  <pageMargins left="0.7" right="0.7" top="0.75" bottom="0.75" header="0.3" footer="0.3"/>
  <pageSetup paperSize="178" orientation="portrait" horizontalDpi="1200"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9"/>
  <dimension ref="A1:I42"/>
  <sheetViews>
    <sheetView topLeftCell="A16" workbookViewId="0">
      <selection activeCell="B3" sqref="B3"/>
    </sheetView>
  </sheetViews>
  <sheetFormatPr baseColWidth="10" defaultRowHeight="14.4"/>
  <cols>
    <col min="1" max="1" width="3.44140625" bestFit="1" customWidth="1"/>
    <col min="2" max="2" width="42.88671875" customWidth="1"/>
    <col min="3" max="3" width="1" customWidth="1"/>
    <col min="6" max="6" width="11.109375" customWidth="1"/>
  </cols>
  <sheetData>
    <row r="1" spans="1:9">
      <c r="A1" s="300" t="s">
        <v>1181</v>
      </c>
    </row>
    <row r="2" spans="1:9">
      <c r="B2" t="s">
        <v>1183</v>
      </c>
    </row>
    <row r="3" spans="1:9">
      <c r="C3" t="s">
        <v>876</v>
      </c>
    </row>
    <row r="5" spans="1:9">
      <c r="A5" s="155" t="s">
        <v>1143</v>
      </c>
      <c r="B5" s="155" t="s">
        <v>1144</v>
      </c>
      <c r="C5" t="s">
        <v>876</v>
      </c>
      <c r="D5" s="266">
        <f>IF(SUM('1POMCAS'!E58:E60)=1,SUM('1POMCAS'!E58:E60),"ERROR: LA SUMA DE LA COLUMNA DEBE SER 100%")</f>
        <v>1</v>
      </c>
      <c r="E5" s="267">
        <f ca="1">IF(+'1POMCAS'!G58*'1POMCAS'!$E58+'1POMCAS'!G59*'1POMCAS'!$E59+'1POMCAS'!G60*'1POMCAS'!$E60=0,"N.A.",'1POMCAS'!G58*'1POMCAS'!$E58+'1POMCAS'!G59*'1POMCAS'!$E59+'1POMCAS'!G60*'1POMCAS'!$E60)</f>
        <v>0.98</v>
      </c>
      <c r="F5" s="267">
        <f ca="1">IF(+'1POMCAS'!H58*'1POMCAS'!$E58+'1POMCAS'!H59*'1POMCAS'!$E59+'1POMCAS'!H60*'1POMCAS'!$E60=0,"N.A.",'1POMCAS'!H58*'1POMCAS'!$E58+'1POMCAS'!H59*'1POMCAS'!$E59+'1POMCAS'!H60*'1POMCAS'!$E60)</f>
        <v>0.98</v>
      </c>
      <c r="G5" s="267">
        <f ca="1">IF(+'1POMCAS'!I58*'1POMCAS'!$E58+'1POMCAS'!I59*'1POMCAS'!$E59+'1POMCAS'!I60*'1POMCAS'!$E60=0,"N.A.",'1POMCAS'!I58*'1POMCAS'!$E58+'1POMCAS'!I59*'1POMCAS'!$E59+'1POMCAS'!I60*'1POMCAS'!$E60)</f>
        <v>0.98</v>
      </c>
      <c r="H5" s="267" t="str">
        <f ca="1">IF(+'1POMCAS'!J58*'1POMCAS'!$E58+'1POMCAS'!J59*'1POMCAS'!$E59+'1POMCAS'!J60*'1POMCAS'!$E60=0,"N.A.",'1POMCAS'!J58*'1POMCAS'!$E58+'1POMCAS'!J59*'1POMCAS'!$E59+'1POMCAS'!J60*'1POMCAS'!$E60)</f>
        <v>N.A.</v>
      </c>
      <c r="I5" s="267"/>
    </row>
    <row r="6" spans="1:9">
      <c r="A6" s="155" t="s">
        <v>1145</v>
      </c>
      <c r="B6" s="155" t="s">
        <v>130</v>
      </c>
      <c r="C6" t="s">
        <v>876</v>
      </c>
      <c r="D6" s="268"/>
      <c r="E6" s="268"/>
      <c r="F6" s="268"/>
      <c r="G6" s="268"/>
      <c r="H6" s="268"/>
      <c r="I6" s="268"/>
    </row>
    <row r="7" spans="1:9">
      <c r="A7" s="155" t="s">
        <v>1146</v>
      </c>
      <c r="B7" s="155" t="s">
        <v>161</v>
      </c>
      <c r="C7" t="s">
        <v>876</v>
      </c>
      <c r="D7" s="268"/>
      <c r="E7" s="268"/>
      <c r="F7" s="268"/>
      <c r="G7" s="268"/>
      <c r="H7" s="268"/>
      <c r="I7" s="268"/>
    </row>
    <row r="8" spans="1:9">
      <c r="A8" s="155" t="s">
        <v>1147</v>
      </c>
      <c r="B8" s="155" t="s">
        <v>182</v>
      </c>
      <c r="C8" t="s">
        <v>876</v>
      </c>
      <c r="D8" s="268"/>
      <c r="E8" s="268"/>
      <c r="F8" s="268"/>
      <c r="G8" s="268"/>
      <c r="H8" s="268"/>
      <c r="I8" s="268"/>
    </row>
    <row r="9" spans="1:9">
      <c r="A9" s="155" t="s">
        <v>1148</v>
      </c>
      <c r="B9" s="155" t="s">
        <v>199</v>
      </c>
      <c r="C9" t="s">
        <v>876</v>
      </c>
      <c r="D9" s="268"/>
      <c r="E9" s="268"/>
      <c r="F9" s="268"/>
      <c r="G9" s="268"/>
      <c r="H9" s="268"/>
      <c r="I9" s="268"/>
    </row>
    <row r="10" spans="1:9">
      <c r="A10" s="155" t="s">
        <v>1149</v>
      </c>
      <c r="B10" s="155" t="s">
        <v>219</v>
      </c>
      <c r="C10" t="s">
        <v>876</v>
      </c>
      <c r="D10" s="268"/>
      <c r="E10" s="268"/>
      <c r="F10" s="268"/>
      <c r="G10" s="268"/>
      <c r="H10" s="268"/>
      <c r="I10" s="268"/>
    </row>
    <row r="11" spans="1:9">
      <c r="A11" s="155" t="s">
        <v>1150</v>
      </c>
      <c r="B11" s="155" t="s">
        <v>279</v>
      </c>
      <c r="C11" t="s">
        <v>876</v>
      </c>
      <c r="D11" s="268"/>
      <c r="E11" s="268"/>
      <c r="F11" s="268"/>
      <c r="G11" s="268"/>
      <c r="H11" s="268"/>
      <c r="I11" s="268"/>
    </row>
    <row r="12" spans="1:9">
      <c r="A12" s="155" t="s">
        <v>1151</v>
      </c>
      <c r="B12" s="155" t="s">
        <v>313</v>
      </c>
      <c r="C12" t="s">
        <v>876</v>
      </c>
      <c r="D12" s="268"/>
      <c r="E12" s="268"/>
      <c r="F12" s="268"/>
      <c r="G12" s="268"/>
      <c r="H12" s="268"/>
      <c r="I12" s="268"/>
    </row>
    <row r="13" spans="1:9">
      <c r="A13" s="155" t="s">
        <v>1152</v>
      </c>
      <c r="B13" s="155" t="s">
        <v>347</v>
      </c>
      <c r="C13" t="s">
        <v>876</v>
      </c>
      <c r="D13" s="268"/>
      <c r="E13" s="268"/>
      <c r="F13" s="268"/>
      <c r="G13" s="268"/>
      <c r="H13" s="268"/>
      <c r="I13" s="268"/>
    </row>
    <row r="14" spans="1:9">
      <c r="A14" s="155" t="s">
        <v>1153</v>
      </c>
      <c r="B14" s="155" t="s">
        <v>395</v>
      </c>
      <c r="C14" t="s">
        <v>876</v>
      </c>
      <c r="D14" s="269"/>
      <c r="E14" s="269"/>
      <c r="F14" s="269"/>
      <c r="G14" s="269"/>
      <c r="H14" s="269"/>
      <c r="I14" s="269"/>
    </row>
    <row r="15" spans="1:9">
      <c r="A15" s="155" t="s">
        <v>1154</v>
      </c>
      <c r="B15" s="155" t="s">
        <v>417</v>
      </c>
      <c r="C15" t="s">
        <v>876</v>
      </c>
      <c r="D15" s="247">
        <f>IF(SUM('11Forest'!E26:E29)='11Forest'!E20,SUM('11Forest'!E26:E29),"ERROR: LA SUMA DE LA COLUMNA DEBE SER IGUAL A LA META ANUAL")</f>
        <v>0</v>
      </c>
      <c r="E15" s="247">
        <f>IF(SUM('11Forest'!F26:F29)='11Forest'!E20,SUM('11Forest'!F26:F29),"ERROR: LA SUMA DE LA COLUMNA DEBE SER IGUAL A LA META ANUAL")</f>
        <v>0</v>
      </c>
      <c r="F15" s="247">
        <f>IF(SUM('11Forest'!G26:G29)='11Forest'!E20,SUM('11Forest'!G26:G29),"ERROR: LA SUMA DE LA COLUMNA DEBE SER IGUAL A LA META ANUAL")</f>
        <v>0</v>
      </c>
      <c r="G15" s="247">
        <f>IF(SUM('11Forest'!H26:H29)='11Forest'!E20,SUM('11Forest'!H26:H29),"ERROR: LA SUMA DE LA COLUMNA DEBE SER IGUAL A LA META ANUAL")</f>
        <v>0</v>
      </c>
      <c r="H15" s="247"/>
      <c r="I15" s="247">
        <f>IF(SUM('11Forest'!E25:H25)='11Forest'!E20,SUM('11Forest'!E25:H25),"ERROR: LA SUMA DE LA COLUMNA DEBE SER IGUAL A LA META ANUAL")</f>
        <v>0</v>
      </c>
    </row>
    <row r="16" spans="1:9">
      <c r="A16" s="155" t="s">
        <v>1155</v>
      </c>
      <c r="B16" s="155" t="s">
        <v>448</v>
      </c>
      <c r="C16" t="s">
        <v>876</v>
      </c>
      <c r="D16" s="270"/>
      <c r="E16" s="270"/>
      <c r="F16" s="270"/>
      <c r="G16" s="270"/>
      <c r="H16" s="270"/>
      <c r="I16" s="270"/>
    </row>
    <row r="17" spans="1:9">
      <c r="A17" s="155" t="s">
        <v>1156</v>
      </c>
      <c r="B17" s="155" t="s">
        <v>479</v>
      </c>
      <c r="C17" t="s">
        <v>876</v>
      </c>
      <c r="D17" s="268"/>
      <c r="E17" s="268"/>
      <c r="F17" s="268"/>
      <c r="G17" s="268"/>
      <c r="H17" s="268"/>
      <c r="I17" s="268"/>
    </row>
    <row r="18" spans="1:9">
      <c r="A18" s="155" t="s">
        <v>1157</v>
      </c>
      <c r="B18" s="155" t="s">
        <v>525</v>
      </c>
      <c r="C18" t="s">
        <v>876</v>
      </c>
      <c r="D18" s="268"/>
      <c r="E18" s="268"/>
      <c r="F18" s="268"/>
      <c r="G18" s="268"/>
      <c r="H18" s="268"/>
      <c r="I18" s="268"/>
    </row>
    <row r="19" spans="1:9">
      <c r="A19" s="155" t="s">
        <v>1158</v>
      </c>
      <c r="B19" s="155" t="s">
        <v>556</v>
      </c>
      <c r="C19" t="s">
        <v>876</v>
      </c>
      <c r="D19" s="268"/>
      <c r="E19" s="268"/>
      <c r="F19" s="268"/>
      <c r="G19" s="268"/>
      <c r="H19" s="268"/>
      <c r="I19" s="268"/>
    </row>
    <row r="20" spans="1:9">
      <c r="A20" s="155" t="s">
        <v>1159</v>
      </c>
      <c r="B20" s="155" t="s">
        <v>584</v>
      </c>
      <c r="C20" t="s">
        <v>876</v>
      </c>
      <c r="D20" s="266">
        <f>IF(SUM('16MIZC'!H22:H26)=1,SUM('16MIZC'!H22:H26),"ERROR: LA SUMA DE LA COLUMNA DEBE SER 100%")</f>
        <v>0.99999999999999989</v>
      </c>
      <c r="E20" s="271">
        <f>SUM('16MIZC'!I22:I26)</f>
        <v>0.99999999999999989</v>
      </c>
      <c r="F20" s="268"/>
      <c r="G20" s="268"/>
      <c r="H20" s="268"/>
      <c r="I20" s="268"/>
    </row>
    <row r="21" spans="1:9">
      <c r="A21" s="155" t="s">
        <v>1160</v>
      </c>
      <c r="B21" s="155" t="s">
        <v>629</v>
      </c>
      <c r="C21" t="s">
        <v>876</v>
      </c>
      <c r="D21" s="268"/>
      <c r="E21" s="268"/>
      <c r="F21" s="268"/>
      <c r="G21" s="268"/>
      <c r="H21" s="268"/>
      <c r="I21" s="268"/>
    </row>
    <row r="22" spans="1:9">
      <c r="A22" s="155" t="s">
        <v>1161</v>
      </c>
      <c r="B22" s="155" t="s">
        <v>649</v>
      </c>
      <c r="C22" t="s">
        <v>876</v>
      </c>
      <c r="D22" s="266">
        <f>IF(SUM('18Sector'!D37:D44)=1,SUM('18Sector'!D37:D44),"ERROR: LA SUMA DE LA COLUMNA DEBE SER 100%")</f>
        <v>1</v>
      </c>
      <c r="E22" s="268"/>
      <c r="F22" s="268"/>
      <c r="G22" s="268"/>
      <c r="H22" s="268"/>
      <c r="I22" s="268"/>
    </row>
    <row r="23" spans="1:9">
      <c r="A23" s="155" t="s">
        <v>1162</v>
      </c>
      <c r="B23" s="155" t="s">
        <v>697</v>
      </c>
      <c r="C23" t="s">
        <v>876</v>
      </c>
      <c r="D23" s="266">
        <f>IF(SUM('19GAU'!H25:H31)=1,SUM('19GAU'!H25:H31),"ERROR: LA SUMA DE LA COLUMNA DEBE SER 100%")</f>
        <v>1</v>
      </c>
      <c r="E23" s="271">
        <f>SUM('19GAU'!I22:I31)</f>
        <v>1</v>
      </c>
      <c r="F23" s="268"/>
      <c r="G23" s="268"/>
      <c r="H23" s="268"/>
      <c r="I23" s="268"/>
    </row>
    <row r="24" spans="1:9">
      <c r="A24" s="155" t="s">
        <v>1163</v>
      </c>
      <c r="B24" s="155" t="s">
        <v>767</v>
      </c>
      <c r="C24" t="s">
        <v>876</v>
      </c>
      <c r="D24" s="266">
        <f>IF(SUM('20Negoc'!D34:D39)=1,SUM('20Negoc'!D34:D39),"ERROR: LA SUMA DE LA COLUMNA DEBE SER 100%")</f>
        <v>1</v>
      </c>
      <c r="E24" s="272">
        <f>+'20Negoc'!J28/'20Negoc'!I28</f>
        <v>1</v>
      </c>
      <c r="F24" s="272">
        <f>+'20Negoc'!K28/'20Negoc'!J28</f>
        <v>0.98055009999999998</v>
      </c>
      <c r="G24" s="268"/>
      <c r="H24" s="268"/>
      <c r="I24" s="268"/>
    </row>
    <row r="25" spans="1:9">
      <c r="A25" s="155" t="s">
        <v>1164</v>
      </c>
      <c r="B25" s="155" t="s">
        <v>828</v>
      </c>
      <c r="C25" t="s">
        <v>876</v>
      </c>
      <c r="D25" s="268"/>
      <c r="E25" s="268"/>
      <c r="F25" s="268"/>
      <c r="G25" s="268"/>
      <c r="H25" s="268"/>
      <c r="I25" s="268"/>
    </row>
    <row r="26" spans="1:9">
      <c r="A26" s="155" t="s">
        <v>1165</v>
      </c>
      <c r="B26" s="155" t="s">
        <v>875</v>
      </c>
      <c r="C26" t="s">
        <v>876</v>
      </c>
      <c r="D26" s="266">
        <f>IF(SUM('22Autor'!F112:F116)=1,SUM('22Autor'!F112:F116),"ERROR: LA SUMA DE LA COLUMNA DEBE SER 100%")</f>
        <v>1</v>
      </c>
      <c r="E26" s="268"/>
      <c r="F26" s="268"/>
      <c r="G26" s="268"/>
      <c r="H26" s="268"/>
      <c r="I26" s="268"/>
    </row>
    <row r="27" spans="1:9">
      <c r="A27" s="155" t="s">
        <v>1166</v>
      </c>
      <c r="B27" s="155" t="s">
        <v>939</v>
      </c>
      <c r="C27" t="s">
        <v>876</v>
      </c>
      <c r="D27" s="268"/>
      <c r="E27" s="268"/>
      <c r="F27" s="268"/>
      <c r="G27" s="268"/>
      <c r="H27" s="268"/>
      <c r="I27" s="268"/>
    </row>
    <row r="28" spans="1:9" ht="15" thickBot="1">
      <c r="A28" s="155" t="s">
        <v>1167</v>
      </c>
      <c r="B28" s="155" t="s">
        <v>960</v>
      </c>
      <c r="C28" t="s">
        <v>876</v>
      </c>
      <c r="D28" s="268"/>
      <c r="E28" s="268"/>
      <c r="F28" s="268"/>
      <c r="G28" s="268"/>
      <c r="H28" s="268"/>
      <c r="I28" s="268"/>
    </row>
    <row r="29" spans="1:9" ht="15" thickBot="1">
      <c r="A29" s="155" t="s">
        <v>1168</v>
      </c>
      <c r="B29" s="155" t="s">
        <v>989</v>
      </c>
      <c r="C29" t="s">
        <v>876</v>
      </c>
      <c r="D29" s="259" t="str">
        <f>IF(SUM('25Redes'!F79:F80)=1,"","ERROR: LA SUMA DE LAS PONDERACIONES DEBE SER 100%")</f>
        <v/>
      </c>
      <c r="E29" s="266" t="e">
        <f>+'25Redes'!E79*'25Redes'!F79+'25Redes'!E80*'25Redes'!F80</f>
        <v>#DIV/0!</v>
      </c>
      <c r="F29" s="268"/>
      <c r="G29" s="268"/>
      <c r="H29" s="268"/>
      <c r="I29" s="268"/>
    </row>
    <row r="30" spans="1:9">
      <c r="A30" s="155" t="s">
        <v>1169</v>
      </c>
      <c r="B30" s="155" t="s">
        <v>1062</v>
      </c>
      <c r="C30" t="s">
        <v>876</v>
      </c>
      <c r="D30" s="268"/>
      <c r="E30" s="268"/>
      <c r="F30" s="268"/>
      <c r="G30" s="268"/>
      <c r="H30" s="268"/>
      <c r="I30" s="268"/>
    </row>
    <row r="31" spans="1:9">
      <c r="A31" s="155" t="s">
        <v>1170</v>
      </c>
      <c r="B31" s="155" t="s">
        <v>1109</v>
      </c>
      <c r="C31" t="s">
        <v>876</v>
      </c>
      <c r="D31" s="266">
        <f>IF(SUM('27Educa'!D56:D81)=1,SUM('27Educa'!D56:D81),"ERROR: LA SUMA DE LA COLUMNA DEBE SER 100%")</f>
        <v>1.0000000000000002</v>
      </c>
      <c r="E31" s="268"/>
      <c r="F31" s="268"/>
      <c r="G31" s="268"/>
      <c r="H31" s="268"/>
      <c r="I31" s="268"/>
    </row>
    <row r="32" spans="1:9">
      <c r="C32" t="s">
        <v>876</v>
      </c>
    </row>
    <row r="33" spans="3:6">
      <c r="C33" t="s">
        <v>876</v>
      </c>
      <c r="D33" s="301" t="s">
        <v>1233</v>
      </c>
      <c r="F33" s="305" t="s">
        <v>1235</v>
      </c>
    </row>
    <row r="34" spans="3:6">
      <c r="C34" t="s">
        <v>876</v>
      </c>
      <c r="D34" s="301" t="s">
        <v>1232</v>
      </c>
      <c r="F34" s="305" t="s">
        <v>1234</v>
      </c>
    </row>
    <row r="35" spans="3:6">
      <c r="C35" t="s">
        <v>876</v>
      </c>
    </row>
    <row r="36" spans="3:6">
      <c r="C36" t="s">
        <v>876</v>
      </c>
    </row>
    <row r="37" spans="3:6">
      <c r="C37" t="s">
        <v>876</v>
      </c>
    </row>
    <row r="38" spans="3:6">
      <c r="C38" t="s">
        <v>876</v>
      </c>
    </row>
    <row r="39" spans="3:6">
      <c r="C39" t="s">
        <v>876</v>
      </c>
    </row>
    <row r="40" spans="3:6">
      <c r="C40" t="s">
        <v>876</v>
      </c>
    </row>
    <row r="41" spans="3:6">
      <c r="C41" t="s">
        <v>876</v>
      </c>
    </row>
    <row r="42" spans="3:6">
      <c r="C42" t="s">
        <v>876</v>
      </c>
    </row>
  </sheetData>
  <sheetProtection algorithmName="SHA-512" hashValue="E7iSHRO0micllmrxNii03RvnOJK5hLyQjLoWlEvyS8BhlibykYKuwLSgWDIe9bKr0rgV7o/z4gJUJvMIxFrKgw==" saltValue="GBnvGum2z3e+EKxTTYtstw==" spinCount="100000" sheet="1" objects="1" scenarios="1" insertHyperlinks="0" selectLockedCells="1" selectUnlockedCells="1"/>
  <conditionalFormatting sqref="D5">
    <cfRule type="containsText" dxfId="6" priority="11" operator="containsText" text="ERROR">
      <formula>NOT(ISERROR(SEARCH("ERROR",D5)))</formula>
    </cfRule>
  </conditionalFormatting>
  <conditionalFormatting sqref="D20">
    <cfRule type="containsText" dxfId="5" priority="10" operator="containsText" text="ERROR">
      <formula>NOT(ISERROR(SEARCH("ERROR",D20)))</formula>
    </cfRule>
  </conditionalFormatting>
  <conditionalFormatting sqref="D22:D24">
    <cfRule type="containsText" dxfId="4" priority="7" operator="containsText" text="ERROR">
      <formula>NOT(ISERROR(SEARCH("ERROR",D22)))</formula>
    </cfRule>
  </conditionalFormatting>
  <conditionalFormatting sqref="D26">
    <cfRule type="containsText" dxfId="3" priority="2" operator="containsText" text="ERROR">
      <formula>NOT(ISERROR(SEARCH("ERROR",D26)))</formula>
    </cfRule>
  </conditionalFormatting>
  <conditionalFormatting sqref="D29">
    <cfRule type="containsText" dxfId="2" priority="3" operator="containsText" text="ERROR">
      <formula>NOT(ISERROR(SEARCH("ERROR",D29)))</formula>
    </cfRule>
  </conditionalFormatting>
  <conditionalFormatting sqref="D31">
    <cfRule type="containsText" dxfId="1" priority="12" operator="containsText" text="ERROR">
      <formula>NOT(ISERROR(SEARCH("ERROR",D31)))</formula>
    </cfRule>
  </conditionalFormatting>
  <conditionalFormatting sqref="D15:I15">
    <cfRule type="containsText" dxfId="0" priority="1" operator="containsText" text="ERROR">
      <formula>NOT(ISERROR(SEARCH("ERROR",D15)))</formula>
    </cfRule>
  </conditionalFormatting>
  <hyperlinks>
    <hyperlink ref="A1" location="'ANEXO 3'!A1" display="VOLVER AL INDICE" xr:uid="{00000000-0004-0000-2100-000000000000}"/>
  </hyperlinks>
  <pageMargins left="0.7" right="0.7" top="0.75" bottom="0.75" header="0.3" footer="0.3"/>
  <pageSetup paperSize="178"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58"/>
  <sheetViews>
    <sheetView topLeftCell="A7" workbookViewId="0">
      <selection activeCell="C7" sqref="C7"/>
    </sheetView>
  </sheetViews>
  <sheetFormatPr baseColWidth="10" defaultRowHeight="14.4"/>
  <cols>
    <col min="1" max="1" width="5.88671875" customWidth="1"/>
    <col min="2" max="2" width="44.33203125" customWidth="1"/>
    <col min="3" max="3" width="68.5546875" customWidth="1"/>
    <col min="7" max="7" width="11.44140625" customWidth="1"/>
    <col min="8" max="8" width="15.5546875" hidden="1" customWidth="1"/>
    <col min="9" max="9" width="11.44140625" customWidth="1"/>
  </cols>
  <sheetData>
    <row r="1" spans="1:18" s="314" customFormat="1" ht="130.5" customHeight="1" thickBot="1">
      <c r="A1" s="325"/>
      <c r="B1" s="326"/>
      <c r="C1" s="327"/>
      <c r="D1"/>
      <c r="E1"/>
      <c r="F1"/>
      <c r="G1"/>
      <c r="H1"/>
      <c r="I1"/>
      <c r="J1"/>
      <c r="K1"/>
      <c r="L1"/>
      <c r="M1"/>
      <c r="N1"/>
      <c r="O1"/>
      <c r="P1"/>
      <c r="Q1"/>
      <c r="R1"/>
    </row>
    <row r="2" spans="1:18" s="315" customFormat="1" ht="39.75" customHeight="1" thickBot="1">
      <c r="A2" s="1363" t="s">
        <v>1663</v>
      </c>
      <c r="B2" s="1364"/>
      <c r="C2" s="1365"/>
      <c r="D2"/>
      <c r="E2"/>
      <c r="F2"/>
      <c r="G2"/>
      <c r="H2"/>
      <c r="I2"/>
      <c r="J2"/>
      <c r="K2"/>
      <c r="L2"/>
      <c r="M2"/>
      <c r="N2"/>
      <c r="O2"/>
      <c r="P2"/>
      <c r="Q2"/>
      <c r="R2"/>
    </row>
    <row r="4" spans="1:18" ht="15" thickBot="1"/>
    <row r="5" spans="1:18" s="316" customFormat="1" ht="23.25" customHeight="1">
      <c r="B5" s="317" t="s">
        <v>1251</v>
      </c>
      <c r="C5" s="700" t="s">
        <v>1278</v>
      </c>
      <c r="H5" s="316" t="s">
        <v>1252</v>
      </c>
    </row>
    <row r="6" spans="1:18" s="316" customFormat="1" ht="23.25" customHeight="1">
      <c r="B6" s="318" t="s">
        <v>1292</v>
      </c>
      <c r="C6" s="319" t="s">
        <v>1711</v>
      </c>
      <c r="H6" s="316" t="s">
        <v>1253</v>
      </c>
    </row>
    <row r="7" spans="1:18" s="316" customFormat="1" ht="23.25" customHeight="1">
      <c r="B7" s="318" t="s">
        <v>1293</v>
      </c>
      <c r="C7" s="319" t="s">
        <v>1802</v>
      </c>
      <c r="H7" s="316" t="s">
        <v>1254</v>
      </c>
    </row>
    <row r="8" spans="1:18" s="316" customFormat="1" ht="23.25" customHeight="1">
      <c r="B8" s="318" t="s">
        <v>39</v>
      </c>
      <c r="C8" s="319" t="s">
        <v>1970</v>
      </c>
      <c r="H8" s="316" t="s">
        <v>1255</v>
      </c>
    </row>
    <row r="9" spans="1:18" s="316" customFormat="1" ht="23.25" customHeight="1">
      <c r="B9" s="318" t="s">
        <v>41</v>
      </c>
      <c r="C9" s="319" t="s">
        <v>1972</v>
      </c>
      <c r="H9" s="316" t="s">
        <v>1256</v>
      </c>
    </row>
    <row r="10" spans="1:18" s="316" customFormat="1" ht="23.25" customHeight="1">
      <c r="B10" s="318" t="s">
        <v>42</v>
      </c>
      <c r="C10" s="440" t="s">
        <v>1971</v>
      </c>
      <c r="H10" s="316" t="s">
        <v>1257</v>
      </c>
    </row>
    <row r="11" spans="1:18" s="316" customFormat="1" ht="23.25" customHeight="1" thickBot="1">
      <c r="B11" s="320" t="s">
        <v>43</v>
      </c>
      <c r="C11" s="321" t="s">
        <v>1803</v>
      </c>
      <c r="H11" s="316" t="s">
        <v>1258</v>
      </c>
    </row>
    <row r="12" spans="1:18">
      <c r="H12" t="s">
        <v>1259</v>
      </c>
    </row>
    <row r="13" spans="1:18">
      <c r="H13" t="s">
        <v>1260</v>
      </c>
    </row>
    <row r="14" spans="1:18">
      <c r="H14" t="s">
        <v>1261</v>
      </c>
    </row>
    <row r="15" spans="1:18">
      <c r="H15" t="s">
        <v>1262</v>
      </c>
    </row>
    <row r="16" spans="1:18">
      <c r="H16" t="s">
        <v>1263</v>
      </c>
    </row>
    <row r="17" spans="8:8">
      <c r="H17" t="s">
        <v>1264</v>
      </c>
    </row>
    <row r="18" spans="8:8">
      <c r="H18" t="s">
        <v>1265</v>
      </c>
    </row>
    <row r="19" spans="8:8">
      <c r="H19" t="s">
        <v>1266</v>
      </c>
    </row>
    <row r="20" spans="8:8">
      <c r="H20" t="s">
        <v>1267</v>
      </c>
    </row>
    <row r="21" spans="8:8">
      <c r="H21" t="s">
        <v>1268</v>
      </c>
    </row>
    <row r="22" spans="8:8">
      <c r="H22" t="s">
        <v>1269</v>
      </c>
    </row>
    <row r="23" spans="8:8">
      <c r="H23" t="s">
        <v>1270</v>
      </c>
    </row>
    <row r="24" spans="8:8">
      <c r="H24" t="s">
        <v>1271</v>
      </c>
    </row>
    <row r="25" spans="8:8">
      <c r="H25" t="s">
        <v>1272</v>
      </c>
    </row>
    <row r="26" spans="8:8">
      <c r="H26" t="s">
        <v>1273</v>
      </c>
    </row>
    <row r="27" spans="8:8">
      <c r="H27" t="s">
        <v>1274</v>
      </c>
    </row>
    <row r="28" spans="8:8">
      <c r="H28" t="s">
        <v>1716</v>
      </c>
    </row>
    <row r="29" spans="8:8">
      <c r="H29" t="s">
        <v>1275</v>
      </c>
    </row>
    <row r="30" spans="8:8">
      <c r="H30" t="s">
        <v>1276</v>
      </c>
    </row>
    <row r="31" spans="8:8">
      <c r="H31" t="s">
        <v>1277</v>
      </c>
    </row>
    <row r="32" spans="8:8">
      <c r="H32" t="s">
        <v>1278</v>
      </c>
    </row>
    <row r="33" spans="8:8">
      <c r="H33" t="s">
        <v>1279</v>
      </c>
    </row>
    <row r="34" spans="8:8">
      <c r="H34" t="s">
        <v>1280</v>
      </c>
    </row>
    <row r="35" spans="8:8">
      <c r="H35" t="s">
        <v>1281</v>
      </c>
    </row>
    <row r="36" spans="8:8">
      <c r="H36" t="s">
        <v>1282</v>
      </c>
    </row>
    <row r="37" spans="8:8">
      <c r="H37" t="s">
        <v>1283</v>
      </c>
    </row>
    <row r="39" spans="8:8">
      <c r="H39" t="s">
        <v>1284</v>
      </c>
    </row>
    <row r="40" spans="8:8">
      <c r="H40" t="s">
        <v>1285</v>
      </c>
    </row>
    <row r="41" spans="8:8">
      <c r="H41" t="s">
        <v>1286</v>
      </c>
    </row>
    <row r="42" spans="8:8">
      <c r="H42" t="s">
        <v>1287</v>
      </c>
    </row>
    <row r="43" spans="8:8">
      <c r="H43" t="s">
        <v>1288</v>
      </c>
    </row>
    <row r="44" spans="8:8">
      <c r="H44" t="s">
        <v>1289</v>
      </c>
    </row>
    <row r="45" spans="8:8">
      <c r="H45" t="s">
        <v>1290</v>
      </c>
    </row>
    <row r="46" spans="8:8">
      <c r="H46" t="s">
        <v>1291</v>
      </c>
    </row>
    <row r="47" spans="8:8">
      <c r="H47" t="s">
        <v>1704</v>
      </c>
    </row>
    <row r="48" spans="8:8">
      <c r="H48" t="s">
        <v>1705</v>
      </c>
    </row>
    <row r="49" spans="8:8">
      <c r="H49" t="s">
        <v>1706</v>
      </c>
    </row>
    <row r="50" spans="8:8">
      <c r="H50" t="s">
        <v>1707</v>
      </c>
    </row>
    <row r="51" spans="8:8">
      <c r="H51" t="s">
        <v>1708</v>
      </c>
    </row>
    <row r="52" spans="8:8">
      <c r="H52" t="s">
        <v>1709</v>
      </c>
    </row>
    <row r="53" spans="8:8">
      <c r="H53" t="s">
        <v>1710</v>
      </c>
    </row>
    <row r="54" spans="8:8">
      <c r="H54" t="s">
        <v>1711</v>
      </c>
    </row>
    <row r="55" spans="8:8">
      <c r="H55" t="s">
        <v>1712</v>
      </c>
    </row>
    <row r="56" spans="8:8">
      <c r="H56" t="s">
        <v>1713</v>
      </c>
    </row>
    <row r="57" spans="8:8">
      <c r="H57" t="s">
        <v>1714</v>
      </c>
    </row>
    <row r="58" spans="8:8">
      <c r="H58" t="s">
        <v>1715</v>
      </c>
    </row>
  </sheetData>
  <mergeCells count="1">
    <mergeCell ref="A2:C2"/>
  </mergeCells>
  <dataValidations count="2">
    <dataValidation type="list" allowBlank="1" showInputMessage="1" showErrorMessage="1" prompt="Seleccione el perido a reportar" sqref="C6" xr:uid="{00000000-0002-0000-0300-000000000000}">
      <formula1>$H$39:$H$58</formula1>
    </dataValidation>
    <dataValidation type="list" allowBlank="1" showInputMessage="1" showErrorMessage="1" prompt="Seleccione la CAR de la cual incorporara la información" sqref="C5" xr:uid="{00000000-0002-0000-0300-000001000000}">
      <formula1>Lista_CAR</formula1>
    </dataValidation>
  </dataValidations>
  <hyperlinks>
    <hyperlink ref="C10" r:id="rId1" display="gescaf@crautonoma.gov.co" xr:uid="{00000000-0004-0000-0300-000000000000}"/>
  </hyperlinks>
  <pageMargins left="0.7" right="0.7" top="0.75" bottom="0.75" header="0.3" footer="0.3"/>
  <pageSetup paperSize="0" orientation="portrait" r:id="rId2"/>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4A1A9-462C-4500-B64F-081FED848C09}">
  <sheetPr filterMode="1">
    <pageSetUpPr fitToPage="1"/>
  </sheetPr>
  <dimension ref="A1:BL313"/>
  <sheetViews>
    <sheetView tabSelected="1" zoomScale="50" zoomScaleNormal="50" workbookViewId="0">
      <selection activeCell="A8" sqref="A8"/>
    </sheetView>
  </sheetViews>
  <sheetFormatPr baseColWidth="10" defaultColWidth="11.44140625" defaultRowHeight="47.4" customHeight="1"/>
  <cols>
    <col min="1" max="1" width="67.109375" style="904" customWidth="1"/>
    <col min="2" max="2" width="19.88671875" style="904" customWidth="1"/>
    <col min="3" max="3" width="24.109375" style="904" customWidth="1"/>
    <col min="4" max="4" width="13" style="1287" customWidth="1"/>
    <col min="5" max="7" width="12.33203125" style="1287" customWidth="1"/>
    <col min="8" max="11" width="12.6640625" style="1287" customWidth="1"/>
    <col min="12" max="14" width="16.109375" style="1287" customWidth="1"/>
    <col min="15" max="15" width="15.6640625" style="1287" customWidth="1"/>
    <col min="16" max="18" width="16.33203125" style="1287" customWidth="1"/>
    <col min="19" max="19" width="76.33203125" style="904" customWidth="1"/>
    <col min="20" max="20" width="26.109375" style="904" customWidth="1"/>
    <col min="21" max="21" width="20.88671875" style="904" customWidth="1"/>
    <col min="22" max="22" width="23.44140625" style="904" customWidth="1"/>
    <col min="23" max="24" width="20.88671875" style="904" customWidth="1"/>
    <col min="25" max="25" width="19.44140625" style="1287" customWidth="1"/>
    <col min="26" max="26" width="15.5546875" style="1287" customWidth="1"/>
    <col min="27" max="27" width="28.33203125" style="1287" customWidth="1"/>
    <col min="28" max="29" width="18" style="904" customWidth="1"/>
    <col min="30" max="32" width="21" style="904" customWidth="1"/>
    <col min="33" max="33" width="38.6640625" style="904" customWidth="1"/>
    <col min="34" max="34" width="25" style="904" customWidth="1"/>
    <col min="35" max="35" width="24.6640625" style="904" customWidth="1"/>
    <col min="36" max="36" width="26.88671875" style="904" customWidth="1"/>
    <col min="37" max="37" width="30.5546875" style="904" customWidth="1"/>
    <col min="38" max="38" width="19.33203125" style="1290" customWidth="1"/>
    <col min="39" max="39" width="26.44140625" style="1290" customWidth="1"/>
    <col min="40" max="42" width="27.44140625" style="904" customWidth="1"/>
    <col min="43" max="43" width="20.88671875" style="1287" customWidth="1"/>
    <col min="44" max="44" width="30.5546875" style="904" customWidth="1"/>
    <col min="45" max="45" width="27.88671875" style="904" customWidth="1"/>
    <col min="46" max="50" width="25.5546875" style="904" customWidth="1"/>
    <col min="51" max="51" width="20.6640625" style="904" customWidth="1"/>
    <col min="52" max="52" width="30.6640625" style="904" customWidth="1"/>
    <col min="53" max="53" width="31.88671875" style="904" customWidth="1"/>
    <col min="54" max="56" width="22.109375" style="904" customWidth="1"/>
    <col min="57" max="57" width="25" style="904" customWidth="1"/>
    <col min="58" max="58" width="23" style="904" customWidth="1"/>
    <col min="59" max="59" width="39.109375" style="904" customWidth="1"/>
    <col min="60" max="60" width="20.44140625" style="904" customWidth="1"/>
    <col min="61" max="16384" width="11.44140625" style="904"/>
  </cols>
  <sheetData>
    <row r="1" spans="1:61" ht="82.2" customHeight="1">
      <c r="A1" s="1398"/>
      <c r="B1" s="1399"/>
      <c r="C1" s="1400"/>
      <c r="D1" s="1400"/>
      <c r="E1" s="1400"/>
      <c r="F1" s="1400"/>
      <c r="G1" s="1400"/>
      <c r="H1" s="1400"/>
      <c r="I1" s="1400"/>
      <c r="J1" s="1400"/>
      <c r="K1" s="1400"/>
      <c r="L1" s="1400"/>
      <c r="M1" s="1400"/>
      <c r="N1" s="1400"/>
      <c r="O1" s="1400"/>
      <c r="P1" s="1400"/>
      <c r="Q1" s="1400"/>
      <c r="R1" s="1400"/>
      <c r="S1" s="1400"/>
      <c r="T1" s="1400"/>
      <c r="U1" s="1400"/>
      <c r="V1" s="1400"/>
      <c r="W1" s="1400"/>
      <c r="X1" s="1400"/>
      <c r="Y1" s="1400"/>
      <c r="Z1" s="1400"/>
      <c r="AA1" s="1400"/>
      <c r="AB1" s="1400"/>
      <c r="AC1" s="1400"/>
      <c r="AD1" s="1400"/>
      <c r="AE1" s="1400"/>
      <c r="AF1" s="1400"/>
      <c r="AG1" s="1400"/>
      <c r="AH1" s="1400"/>
      <c r="AI1" s="1400"/>
      <c r="AJ1" s="1400"/>
      <c r="AK1" s="1400"/>
      <c r="AL1" s="1400"/>
      <c r="AM1" s="1400"/>
      <c r="AN1" s="1400"/>
      <c r="AO1" s="1400"/>
      <c r="AP1" s="1400"/>
      <c r="AQ1" s="1400"/>
      <c r="AR1" s="1400"/>
      <c r="AS1" s="1400"/>
      <c r="AT1" s="1400"/>
      <c r="AU1" s="1400"/>
      <c r="AV1" s="1400"/>
      <c r="AW1" s="1400"/>
      <c r="AX1" s="1400"/>
      <c r="AY1" s="1400"/>
      <c r="AZ1" s="1400"/>
      <c r="BA1" s="1400"/>
      <c r="BB1" s="1400"/>
      <c r="BC1" s="1400"/>
      <c r="BD1" s="1400"/>
      <c r="BE1" s="1400"/>
      <c r="BF1" s="1400"/>
      <c r="BG1" s="1400"/>
      <c r="BH1" s="1400"/>
    </row>
    <row r="2" spans="1:61" s="905" customFormat="1" ht="47.4" customHeight="1">
      <c r="A2" s="1401" t="s">
        <v>1711</v>
      </c>
      <c r="B2" s="1402"/>
      <c r="C2" s="1402"/>
      <c r="D2" s="1402"/>
      <c r="E2" s="1402"/>
      <c r="F2" s="1402"/>
      <c r="G2" s="1402"/>
      <c r="H2" s="1402"/>
      <c r="I2" s="1402"/>
      <c r="J2" s="1402"/>
      <c r="K2" s="1402"/>
      <c r="L2" s="1402"/>
      <c r="M2" s="1402"/>
      <c r="N2" s="1402"/>
      <c r="O2" s="1402"/>
      <c r="P2" s="1402"/>
      <c r="Q2" s="1402"/>
      <c r="R2" s="1402"/>
      <c r="S2" s="1402"/>
      <c r="T2" s="1402"/>
      <c r="U2" s="1402"/>
      <c r="V2" s="1402"/>
      <c r="W2" s="1402"/>
      <c r="X2" s="1402"/>
      <c r="Y2" s="1402"/>
      <c r="Z2" s="1402"/>
      <c r="AA2" s="1402"/>
      <c r="AB2" s="1402"/>
      <c r="AC2" s="1402"/>
      <c r="AD2" s="1402"/>
      <c r="AE2" s="1402"/>
      <c r="AF2" s="1402"/>
      <c r="AG2" s="1402"/>
      <c r="AH2" s="1402"/>
      <c r="AI2" s="1402"/>
      <c r="AJ2" s="1402"/>
      <c r="AK2" s="1402"/>
      <c r="AL2" s="1402"/>
      <c r="AM2" s="1402"/>
      <c r="AN2" s="1402"/>
      <c r="AO2" s="1402"/>
      <c r="AP2" s="1402"/>
      <c r="AQ2" s="1402"/>
      <c r="AR2" s="1402"/>
      <c r="AS2" s="1402"/>
      <c r="AT2" s="1402"/>
      <c r="AU2" s="1402"/>
      <c r="AV2" s="1402"/>
      <c r="AW2" s="1402"/>
      <c r="AX2" s="1402"/>
      <c r="AY2" s="1402"/>
      <c r="AZ2" s="1402"/>
      <c r="BA2" s="1402"/>
      <c r="BB2" s="1402"/>
      <c r="BC2" s="1402"/>
      <c r="BD2" s="1402"/>
      <c r="BE2" s="1402"/>
      <c r="BF2" s="1402"/>
      <c r="BG2" s="1402"/>
      <c r="BH2" s="1402"/>
    </row>
    <row r="3" spans="1:61" s="905" customFormat="1" ht="27.6" customHeight="1">
      <c r="A3" s="1403" t="s">
        <v>1278</v>
      </c>
      <c r="B3" s="1404"/>
      <c r="C3" s="1404"/>
      <c r="D3" s="1404"/>
      <c r="E3" s="1404"/>
      <c r="F3" s="1404"/>
      <c r="G3" s="1404"/>
      <c r="H3" s="1404"/>
      <c r="I3" s="1404"/>
      <c r="J3" s="1404"/>
      <c r="K3" s="1404"/>
      <c r="L3" s="1404"/>
      <c r="M3" s="1404"/>
      <c r="N3" s="1404"/>
      <c r="O3" s="1404"/>
      <c r="P3" s="1404"/>
      <c r="Q3" s="1404"/>
      <c r="R3" s="1404"/>
      <c r="S3" s="1404"/>
      <c r="T3" s="1404"/>
      <c r="U3" s="1404"/>
      <c r="V3" s="1404"/>
      <c r="W3" s="1404"/>
      <c r="X3" s="1404"/>
      <c r="Y3" s="1404"/>
      <c r="Z3" s="1404"/>
      <c r="AA3" s="1404"/>
      <c r="AB3" s="1404"/>
      <c r="AC3" s="1404"/>
      <c r="AD3" s="1404"/>
      <c r="AE3" s="1404"/>
      <c r="AF3" s="1404"/>
      <c r="AG3" s="1404"/>
      <c r="AH3" s="1404"/>
      <c r="AI3" s="1404"/>
      <c r="AJ3" s="1404"/>
      <c r="AK3" s="1404"/>
      <c r="AL3" s="1404"/>
      <c r="AM3" s="1404"/>
      <c r="AN3" s="1404"/>
      <c r="AO3" s="1404"/>
      <c r="AP3" s="1404"/>
      <c r="AQ3" s="1404"/>
      <c r="AR3" s="1404"/>
      <c r="AS3" s="1404"/>
      <c r="AT3" s="1404"/>
      <c r="AU3" s="1404"/>
      <c r="AV3" s="1404"/>
      <c r="AW3" s="1404"/>
      <c r="AX3" s="1404"/>
      <c r="AY3" s="1404"/>
      <c r="AZ3" s="1404"/>
      <c r="BA3" s="1404"/>
      <c r="BB3" s="1404"/>
      <c r="BC3" s="1404"/>
      <c r="BD3" s="1404"/>
      <c r="BE3" s="1404"/>
      <c r="BF3" s="1404"/>
      <c r="BG3" s="1404"/>
      <c r="BH3" s="1404"/>
    </row>
    <row r="4" spans="1:61" s="908" customFormat="1" ht="47.4" customHeight="1">
      <c r="A4" s="906"/>
      <c r="B4" s="907"/>
      <c r="C4" s="1405" t="s">
        <v>2059</v>
      </c>
      <c r="D4" s="1405"/>
      <c r="E4" s="1405"/>
      <c r="F4" s="1405"/>
      <c r="G4" s="1405"/>
      <c r="H4" s="1405"/>
      <c r="I4" s="1405"/>
      <c r="J4" s="1405"/>
      <c r="K4" s="1405"/>
      <c r="L4" s="1405"/>
      <c r="M4" s="1405"/>
      <c r="N4" s="1405"/>
      <c r="O4" s="1405"/>
      <c r="P4" s="1405"/>
      <c r="Q4" s="1405"/>
      <c r="R4" s="1405"/>
      <c r="S4" s="1405"/>
      <c r="T4" s="1405"/>
      <c r="U4" s="1405"/>
      <c r="V4" s="1405"/>
      <c r="W4" s="1405"/>
      <c r="X4" s="1405"/>
      <c r="Y4" s="1405"/>
      <c r="Z4" s="1405"/>
      <c r="AA4" s="1405"/>
      <c r="AB4" s="1405"/>
      <c r="AC4" s="1405"/>
      <c r="AD4" s="1405"/>
      <c r="AE4" s="1405"/>
      <c r="AF4" s="1405"/>
      <c r="AG4" s="1406" t="s">
        <v>2060</v>
      </c>
      <c r="AH4" s="1407"/>
      <c r="AI4" s="1407"/>
      <c r="AJ4" s="1407"/>
      <c r="AK4" s="1407"/>
      <c r="AL4" s="1407"/>
      <c r="AM4" s="1407"/>
      <c r="AN4" s="1407"/>
      <c r="AO4" s="1407"/>
      <c r="AP4" s="1407"/>
      <c r="AQ4" s="1407"/>
      <c r="AR4" s="1407"/>
      <c r="AS4" s="1407"/>
      <c r="AT4" s="1407"/>
      <c r="AU4" s="1407"/>
      <c r="AV4" s="1407"/>
      <c r="AW4" s="1407"/>
      <c r="AX4" s="1407"/>
      <c r="AY4" s="1407"/>
      <c r="AZ4" s="1407"/>
      <c r="BA4" s="1407"/>
      <c r="BB4" s="1407"/>
      <c r="BC4" s="1407"/>
      <c r="BD4" s="1407"/>
      <c r="BE4" s="1408"/>
      <c r="BF4" s="1408"/>
      <c r="BG4" s="1408"/>
      <c r="BH4" s="1408"/>
    </row>
    <row r="5" spans="1:61" s="912" customFormat="1" ht="96.6" customHeight="1">
      <c r="A5" s="1409" t="s">
        <v>2061</v>
      </c>
      <c r="B5" s="1391" t="s">
        <v>2062</v>
      </c>
      <c r="C5" s="1397" t="s">
        <v>2063</v>
      </c>
      <c r="D5" s="1397" t="s">
        <v>2064</v>
      </c>
      <c r="E5" s="1397"/>
      <c r="F5" s="1397"/>
      <c r="G5" s="1397"/>
      <c r="H5" s="1397" t="s">
        <v>2065</v>
      </c>
      <c r="I5" s="1397"/>
      <c r="J5" s="1397"/>
      <c r="K5" s="1397"/>
      <c r="L5" s="1397" t="s">
        <v>2066</v>
      </c>
      <c r="M5" s="1397"/>
      <c r="N5" s="1397"/>
      <c r="O5" s="1397" t="s">
        <v>2067</v>
      </c>
      <c r="P5" s="1397"/>
      <c r="Q5" s="1397"/>
      <c r="R5" s="1397"/>
      <c r="S5" s="1397" t="s">
        <v>2068</v>
      </c>
      <c r="T5" s="1391" t="s">
        <v>2069</v>
      </c>
      <c r="U5" s="1391" t="s">
        <v>2070</v>
      </c>
      <c r="V5" s="1391" t="s">
        <v>2071</v>
      </c>
      <c r="W5" s="1391" t="s">
        <v>2072</v>
      </c>
      <c r="X5" s="1391" t="s">
        <v>2073</v>
      </c>
      <c r="Y5" s="1391" t="s">
        <v>2074</v>
      </c>
      <c r="Z5" s="1391" t="s">
        <v>2075</v>
      </c>
      <c r="AA5" s="1391" t="s">
        <v>2076</v>
      </c>
      <c r="AB5" s="910" t="s">
        <v>2077</v>
      </c>
      <c r="AC5" s="1392" t="s">
        <v>2078</v>
      </c>
      <c r="AD5" s="1392"/>
      <c r="AE5" s="1392"/>
      <c r="AF5" s="1392"/>
      <c r="AG5" s="1394" t="s">
        <v>2079</v>
      </c>
      <c r="AH5" s="1394" t="s">
        <v>2080</v>
      </c>
      <c r="AI5" s="1394"/>
      <c r="AJ5" s="1394"/>
      <c r="AK5" s="1394"/>
      <c r="AL5" s="1394" t="s">
        <v>2081</v>
      </c>
      <c r="AM5" s="1395" t="s">
        <v>2082</v>
      </c>
      <c r="AN5" s="1395"/>
      <c r="AO5" s="1395"/>
      <c r="AP5" s="1395"/>
      <c r="AQ5" s="1396" t="s">
        <v>2083</v>
      </c>
      <c r="AR5" s="1393" t="s">
        <v>2084</v>
      </c>
      <c r="AS5" s="1393" t="s">
        <v>2085</v>
      </c>
      <c r="AT5" s="1393" t="s">
        <v>2086</v>
      </c>
      <c r="AU5" s="1393" t="s">
        <v>2087</v>
      </c>
      <c r="AV5" s="1393" t="s">
        <v>2088</v>
      </c>
      <c r="AW5" s="1393" t="s">
        <v>2089</v>
      </c>
      <c r="AX5" s="1393" t="s">
        <v>2090</v>
      </c>
      <c r="AY5" s="1393" t="s">
        <v>2091</v>
      </c>
      <c r="AZ5" s="1389" t="s">
        <v>2092</v>
      </c>
      <c r="BA5" s="1389" t="s">
        <v>2093</v>
      </c>
      <c r="BB5" s="1389" t="s">
        <v>2094</v>
      </c>
      <c r="BC5" s="1389" t="s">
        <v>2095</v>
      </c>
      <c r="BD5" s="1389" t="s">
        <v>2096</v>
      </c>
      <c r="BE5" s="1390" t="s">
        <v>2097</v>
      </c>
      <c r="BF5" s="1390" t="s">
        <v>2098</v>
      </c>
      <c r="BG5" s="1390" t="s">
        <v>2099</v>
      </c>
      <c r="BH5" s="1390" t="s">
        <v>2100</v>
      </c>
    </row>
    <row r="6" spans="1:61" s="908" customFormat="1" ht="12.75" hidden="1" customHeight="1">
      <c r="A6" s="1409"/>
      <c r="B6" s="1391"/>
      <c r="C6" s="1397"/>
      <c r="D6" s="909">
        <v>2020</v>
      </c>
      <c r="E6" s="909">
        <v>2021</v>
      </c>
      <c r="F6" s="909">
        <v>2022</v>
      </c>
      <c r="G6" s="909">
        <v>2023</v>
      </c>
      <c r="H6" s="909">
        <v>2020</v>
      </c>
      <c r="I6" s="909">
        <v>2021</v>
      </c>
      <c r="J6" s="909">
        <v>2022</v>
      </c>
      <c r="K6" s="909">
        <v>2023</v>
      </c>
      <c r="L6" s="909">
        <v>2020</v>
      </c>
      <c r="M6" s="909">
        <v>2021</v>
      </c>
      <c r="N6" s="909">
        <v>2022</v>
      </c>
      <c r="O6" s="909">
        <v>2020</v>
      </c>
      <c r="P6" s="909">
        <v>2021</v>
      </c>
      <c r="Q6" s="909">
        <v>2022</v>
      </c>
      <c r="R6" s="909">
        <v>2023</v>
      </c>
      <c r="S6" s="1397"/>
      <c r="T6" s="1391"/>
      <c r="U6" s="1391"/>
      <c r="V6" s="1391"/>
      <c r="W6" s="1391"/>
      <c r="X6" s="1391"/>
      <c r="Y6" s="1391"/>
      <c r="Z6" s="1391"/>
      <c r="AA6" s="1391"/>
      <c r="AB6" s="910" t="s">
        <v>2101</v>
      </c>
      <c r="AC6" s="910">
        <v>2020</v>
      </c>
      <c r="AD6" s="910">
        <v>2021</v>
      </c>
      <c r="AE6" s="910">
        <v>2022</v>
      </c>
      <c r="AF6" s="910">
        <v>2023</v>
      </c>
      <c r="AG6" s="1394"/>
      <c r="AH6" s="911">
        <v>2020</v>
      </c>
      <c r="AI6" s="911">
        <v>2021</v>
      </c>
      <c r="AJ6" s="913">
        <v>2022</v>
      </c>
      <c r="AK6" s="913">
        <v>2023</v>
      </c>
      <c r="AL6" s="1394"/>
      <c r="AM6" s="911">
        <v>2020</v>
      </c>
      <c r="AN6" s="911">
        <v>2021</v>
      </c>
      <c r="AO6" s="913">
        <v>2022</v>
      </c>
      <c r="AP6" s="913">
        <v>2023</v>
      </c>
      <c r="AQ6" s="1396"/>
      <c r="AR6" s="1393"/>
      <c r="AS6" s="1393"/>
      <c r="AT6" s="1393"/>
      <c r="AU6" s="1393"/>
      <c r="AV6" s="1393"/>
      <c r="AW6" s="1393"/>
      <c r="AX6" s="1393"/>
      <c r="AY6" s="1393"/>
      <c r="AZ6" s="1389"/>
      <c r="BA6" s="1389"/>
      <c r="BB6" s="1389"/>
      <c r="BC6" s="1389"/>
      <c r="BD6" s="1389"/>
      <c r="BE6" s="1390"/>
      <c r="BF6" s="1390"/>
      <c r="BG6" s="1390"/>
      <c r="BH6" s="1390"/>
    </row>
    <row r="7" spans="1:61" s="908" customFormat="1" ht="47.4" customHeight="1">
      <c r="A7" s="914" t="s">
        <v>2102</v>
      </c>
      <c r="B7" s="914"/>
      <c r="C7" s="915"/>
      <c r="D7" s="916"/>
      <c r="E7" s="916"/>
      <c r="F7" s="916"/>
      <c r="G7" s="916"/>
      <c r="H7" s="916"/>
      <c r="I7" s="916"/>
      <c r="J7" s="916"/>
      <c r="K7" s="916"/>
      <c r="L7" s="916"/>
      <c r="M7" s="916"/>
      <c r="N7" s="916"/>
      <c r="O7" s="917">
        <f>+(O8*AC8)+(O31*AC31)+(O48*AC48)</f>
        <v>0.95166249999999986</v>
      </c>
      <c r="P7" s="917">
        <f t="shared" ref="P7:R7" si="0">+(P8*AD8)+(P31*AD31)+(P48*AD48)</f>
        <v>0.91109999999999991</v>
      </c>
      <c r="Q7" s="917">
        <f t="shared" si="0"/>
        <v>0.95825624999999992</v>
      </c>
      <c r="R7" s="917">
        <f t="shared" si="0"/>
        <v>0.99291666666666656</v>
      </c>
      <c r="S7" s="918"/>
      <c r="T7" s="918"/>
      <c r="U7" s="918"/>
      <c r="V7" s="918"/>
      <c r="W7" s="918"/>
      <c r="X7" s="918"/>
      <c r="Y7" s="919"/>
      <c r="Z7" s="919"/>
      <c r="AA7" s="917">
        <f>+(AA8*AB8)+(AA31*AB31)+(AA48*AB48)</f>
        <v>0.96984714120370363</v>
      </c>
      <c r="AB7" s="920">
        <v>0.4</v>
      </c>
      <c r="AC7" s="920">
        <v>0.4</v>
      </c>
      <c r="AD7" s="920">
        <v>0.4</v>
      </c>
      <c r="AE7" s="920">
        <v>0.4</v>
      </c>
      <c r="AF7" s="920">
        <v>0.4</v>
      </c>
      <c r="AG7" s="921">
        <f t="shared" ref="AG7:AX7" si="1">+AG8+AG31+AG48</f>
        <v>77716179117</v>
      </c>
      <c r="AH7" s="915">
        <f t="shared" si="1"/>
        <v>46412999007.309998</v>
      </c>
      <c r="AI7" s="921">
        <f t="shared" si="1"/>
        <v>68722723175.070007</v>
      </c>
      <c r="AJ7" s="921">
        <f t="shared" si="1"/>
        <v>100589592953.67999</v>
      </c>
      <c r="AK7" s="921">
        <f t="shared" si="1"/>
        <v>77649131157.919998</v>
      </c>
      <c r="AL7" s="922">
        <f>+AK7/AG7</f>
        <v>0.99913727154574772</v>
      </c>
      <c r="AM7" s="915">
        <f t="shared" ref="AM7" si="2">+AM8+AM31+AM48</f>
        <v>32180803193</v>
      </c>
      <c r="AN7" s="921">
        <f t="shared" si="1"/>
        <v>57085007305.610001</v>
      </c>
      <c r="AO7" s="921">
        <f t="shared" si="1"/>
        <v>80228876344.839996</v>
      </c>
      <c r="AP7" s="921">
        <f t="shared" si="1"/>
        <v>62061514810.550003</v>
      </c>
      <c r="AQ7" s="923">
        <f>+AP7/AG7</f>
        <v>0.79856621254009097</v>
      </c>
      <c r="AR7" s="915">
        <f>+AR8+AR31+AR48</f>
        <v>20360716608.839996</v>
      </c>
      <c r="AS7" s="915">
        <f>+AS8+AS31+AS48</f>
        <v>14232195814.309999</v>
      </c>
      <c r="AT7" s="915">
        <f t="shared" si="1"/>
        <v>12033897383.209999</v>
      </c>
      <c r="AU7" s="915">
        <f t="shared" si="1"/>
        <v>11637715869.460001</v>
      </c>
      <c r="AV7" s="915">
        <f t="shared" si="1"/>
        <v>2055747204.24</v>
      </c>
      <c r="AW7" s="915">
        <f t="shared" si="1"/>
        <v>20360716608.84</v>
      </c>
      <c r="AX7" s="915">
        <f t="shared" si="1"/>
        <v>19923117843.84</v>
      </c>
      <c r="AY7" s="924" t="e">
        <f>+AX5/AW7</f>
        <v>#VALUE!</v>
      </c>
      <c r="AZ7" s="915">
        <f t="shared" ref="AZ7" si="3">+AZ8+AZ31+AZ48</f>
        <v>346986102490</v>
      </c>
      <c r="BA7" s="915">
        <f>+BA8+BA31+BA48</f>
        <v>293374446293.97998</v>
      </c>
      <c r="BB7" s="920">
        <f>+BA7/AZ7</f>
        <v>0.84549336180527557</v>
      </c>
      <c r="BC7" s="915">
        <f>+BC8+BC31+BC48</f>
        <v>265568964085.28998</v>
      </c>
      <c r="BD7" s="920">
        <f>+BC7/AZ7</f>
        <v>0.76535907974280781</v>
      </c>
      <c r="BE7" s="915"/>
      <c r="BF7" s="915"/>
      <c r="BG7" s="915"/>
      <c r="BH7" s="915"/>
      <c r="BI7" s="908" t="s">
        <v>2103</v>
      </c>
    </row>
    <row r="8" spans="1:61" s="935" customFormat="1" ht="47.4" customHeight="1">
      <c r="A8" s="925" t="s">
        <v>2104</v>
      </c>
      <c r="B8" s="925"/>
      <c r="C8" s="926"/>
      <c r="D8" s="927"/>
      <c r="E8" s="927"/>
      <c r="F8" s="927"/>
      <c r="G8" s="927"/>
      <c r="H8" s="927"/>
      <c r="I8" s="927"/>
      <c r="J8" s="927"/>
      <c r="K8" s="927"/>
      <c r="L8" s="927"/>
      <c r="M8" s="927"/>
      <c r="N8" s="927"/>
      <c r="O8" s="928">
        <f>+(O9*AC9)+(O22*AC22)+(O25*AC25)</f>
        <v>0.97399999999999987</v>
      </c>
      <c r="P8" s="928">
        <f t="shared" ref="P8:R8" si="4">+(P9*AD9)+(P22*AD22)+(P25*AD25)</f>
        <v>0.87399999999999989</v>
      </c>
      <c r="Q8" s="928">
        <f t="shared" si="4"/>
        <v>0.94799999999999984</v>
      </c>
      <c r="R8" s="928">
        <f t="shared" si="4"/>
        <v>0.99999999999999989</v>
      </c>
      <c r="S8" s="926"/>
      <c r="T8" s="926"/>
      <c r="U8" s="926"/>
      <c r="V8" s="926"/>
      <c r="W8" s="926"/>
      <c r="X8" s="926"/>
      <c r="Y8" s="929"/>
      <c r="Z8" s="929"/>
      <c r="AA8" s="930">
        <f>+(AA9*AB9)+(AA22*AB22)+(AA25*AB25)</f>
        <v>0.97066666666666657</v>
      </c>
      <c r="AB8" s="928">
        <v>0.65</v>
      </c>
      <c r="AC8" s="928">
        <v>0.65</v>
      </c>
      <c r="AD8" s="928">
        <v>0.65</v>
      </c>
      <c r="AE8" s="928">
        <v>0.65</v>
      </c>
      <c r="AF8" s="928">
        <v>0.65</v>
      </c>
      <c r="AG8" s="926">
        <f t="shared" ref="AG8:AX8" si="5">+AG9+AG22+AG25</f>
        <v>24558793652</v>
      </c>
      <c r="AH8" s="926">
        <f t="shared" si="5"/>
        <v>6179050696.4099998</v>
      </c>
      <c r="AI8" s="926">
        <f t="shared" si="5"/>
        <v>16991407463.370001</v>
      </c>
      <c r="AJ8" s="926">
        <f t="shared" si="5"/>
        <v>48628750589.679993</v>
      </c>
      <c r="AK8" s="926">
        <f t="shared" si="5"/>
        <v>24501680805.82</v>
      </c>
      <c r="AL8" s="931">
        <f>+AK8/AG8</f>
        <v>0.99767444415270168</v>
      </c>
      <c r="AM8" s="926">
        <f t="shared" ref="AM8" si="6">+AM9+AM22+AM25</f>
        <v>847340921</v>
      </c>
      <c r="AN8" s="932">
        <f t="shared" si="5"/>
        <v>15592621123.110001</v>
      </c>
      <c r="AO8" s="932">
        <f t="shared" si="5"/>
        <v>35287727541.839996</v>
      </c>
      <c r="AP8" s="926">
        <f t="shared" si="5"/>
        <v>19560252759.549999</v>
      </c>
      <c r="AQ8" s="933">
        <f>+AP8/AG8</f>
        <v>0.79646635077928862</v>
      </c>
      <c r="AR8" s="926">
        <f t="shared" si="5"/>
        <v>13341023047.839996</v>
      </c>
      <c r="AS8" s="932">
        <f t="shared" si="5"/>
        <v>5331709775.4099998</v>
      </c>
      <c r="AT8" s="926">
        <f t="shared" si="5"/>
        <v>4541923144.3299999</v>
      </c>
      <c r="AU8" s="926">
        <f t="shared" si="5"/>
        <v>1398786340.26</v>
      </c>
      <c r="AV8" s="926">
        <f t="shared" si="5"/>
        <v>1174273412.04</v>
      </c>
      <c r="AW8" s="926">
        <f t="shared" si="5"/>
        <v>13341023047.84</v>
      </c>
      <c r="AX8" s="926">
        <f t="shared" si="5"/>
        <v>13333077585.84</v>
      </c>
      <c r="AY8" s="934">
        <f t="shared" ref="AY8:AY71" si="7">+AX6/AW8</f>
        <v>0</v>
      </c>
      <c r="AZ8" s="926">
        <f t="shared" ref="AZ8" si="8">+AZ9+AZ22+AZ25</f>
        <v>137113165496</v>
      </c>
      <c r="BA8" s="926">
        <f>+BA9+BA22+BA25</f>
        <v>96300889555.279999</v>
      </c>
      <c r="BB8" s="928">
        <f t="shared" ref="BB8:BB73" si="9">+BA8/AZ8</f>
        <v>0.70234604537730827</v>
      </c>
      <c r="BC8" s="926">
        <f>+BC9+BC22+BC25</f>
        <v>90337216487.709991</v>
      </c>
      <c r="BD8" s="928">
        <f>+BC8/AZ8</f>
        <v>0.6588515126240404</v>
      </c>
      <c r="BE8" s="926"/>
      <c r="BF8" s="926" t="s">
        <v>1696</v>
      </c>
      <c r="BG8" s="926"/>
      <c r="BH8" s="926"/>
    </row>
    <row r="9" spans="1:61" s="908" customFormat="1" ht="47.4" customHeight="1">
      <c r="A9" s="936" t="s">
        <v>2105</v>
      </c>
      <c r="B9" s="936"/>
      <c r="C9" s="937"/>
      <c r="D9" s="938"/>
      <c r="E9" s="938"/>
      <c r="F9" s="938"/>
      <c r="G9" s="938"/>
      <c r="H9" s="938"/>
      <c r="I9" s="938"/>
      <c r="J9" s="938"/>
      <c r="K9" s="938"/>
      <c r="L9" s="938"/>
      <c r="M9" s="938"/>
      <c r="N9" s="938"/>
      <c r="O9" s="939">
        <f>+SUMPRODUCT(O10:O21,AC10:AC21)</f>
        <v>0.87</v>
      </c>
      <c r="P9" s="939">
        <f t="shared" ref="P9:R9" si="10">+SUMPRODUCT(P10:P21,AD10:AD21)</f>
        <v>0.37</v>
      </c>
      <c r="Q9" s="939">
        <f t="shared" si="10"/>
        <v>0.74</v>
      </c>
      <c r="R9" s="939">
        <f t="shared" si="10"/>
        <v>1</v>
      </c>
      <c r="S9" s="937"/>
      <c r="T9" s="937"/>
      <c r="U9" s="937"/>
      <c r="V9" s="937"/>
      <c r="W9" s="937"/>
      <c r="X9" s="937"/>
      <c r="Y9" s="940"/>
      <c r="Z9" s="940"/>
      <c r="AA9" s="941">
        <f>+SUMPRODUCT(AA10:AA21,AB10:AB21)</f>
        <v>0.85333333333333328</v>
      </c>
      <c r="AB9" s="939">
        <v>0.2</v>
      </c>
      <c r="AC9" s="939">
        <v>0.2</v>
      </c>
      <c r="AD9" s="939">
        <v>0.2</v>
      </c>
      <c r="AE9" s="939">
        <v>0.2</v>
      </c>
      <c r="AF9" s="939">
        <v>0.2</v>
      </c>
      <c r="AG9" s="937">
        <f>+SUM(AG10:AG21)</f>
        <v>2954655121</v>
      </c>
      <c r="AH9" s="937">
        <f>SUM(AH10:AH21)</f>
        <v>1022391740</v>
      </c>
      <c r="AI9" s="937">
        <f t="shared" ref="AI9:BA9" si="11">SUM(AI10:AI21)</f>
        <v>783124557.20000005</v>
      </c>
      <c r="AJ9" s="937">
        <f t="shared" si="11"/>
        <v>1621263065.8400002</v>
      </c>
      <c r="AK9" s="942">
        <f t="shared" si="11"/>
        <v>2921624540.3199997</v>
      </c>
      <c r="AL9" s="943">
        <f>+AK9/AG9</f>
        <v>0.98882083379368446</v>
      </c>
      <c r="AM9" s="937">
        <f>SUM(AM10:AM21)</f>
        <v>185112600</v>
      </c>
      <c r="AN9" s="937">
        <f t="shared" si="11"/>
        <v>574476365</v>
      </c>
      <c r="AO9" s="937">
        <f t="shared" si="11"/>
        <v>1302767654</v>
      </c>
      <c r="AP9" s="937">
        <f t="shared" si="11"/>
        <v>2312180612.75</v>
      </c>
      <c r="AQ9" s="944">
        <f>+AP9/AG9</f>
        <v>0.78255516060617081</v>
      </c>
      <c r="AR9" s="945">
        <f t="shared" si="11"/>
        <v>318495411.84000003</v>
      </c>
      <c r="AS9" s="937">
        <f t="shared" si="11"/>
        <v>837279140</v>
      </c>
      <c r="AT9" s="937">
        <f t="shared" si="11"/>
        <v>817292444</v>
      </c>
      <c r="AU9" s="937">
        <f t="shared" si="11"/>
        <v>208648192.19999999</v>
      </c>
      <c r="AV9" s="937">
        <f t="shared" si="11"/>
        <v>196202465.19999999</v>
      </c>
      <c r="AW9" s="937">
        <f t="shared" si="11"/>
        <v>318495411.84000003</v>
      </c>
      <c r="AX9" s="937">
        <f t="shared" si="11"/>
        <v>316477720.84000003</v>
      </c>
      <c r="AY9" s="946">
        <f t="shared" si="7"/>
        <v>62.553861384504387</v>
      </c>
      <c r="AZ9" s="937">
        <f t="shared" ref="AZ9" si="12">SUM(AZ10:AZ21)</f>
        <v>8486553948</v>
      </c>
      <c r="BA9" s="937">
        <f t="shared" si="11"/>
        <v>6348403903.3599997</v>
      </c>
      <c r="BB9" s="939">
        <f t="shared" si="9"/>
        <v>0.74805438606280328</v>
      </c>
      <c r="BC9" s="937">
        <f t="shared" ref="BC9" si="13">SUM(BC10:BC21)</f>
        <v>5704509861.79</v>
      </c>
      <c r="BD9" s="939">
        <f>+BC9/AZ9</f>
        <v>0.67218212442217073</v>
      </c>
      <c r="BE9" s="945"/>
      <c r="BF9" s="945"/>
      <c r="BG9" s="945"/>
      <c r="BH9" s="945"/>
    </row>
    <row r="10" spans="1:61" s="908" customFormat="1" ht="99" hidden="1" customHeight="1">
      <c r="A10" s="947" t="s">
        <v>2106</v>
      </c>
      <c r="B10" s="948" t="s">
        <v>2107</v>
      </c>
      <c r="C10" s="948" t="s">
        <v>2108</v>
      </c>
      <c r="D10" s="949">
        <v>1</v>
      </c>
      <c r="E10" s="949">
        <v>0</v>
      </c>
      <c r="F10" s="949">
        <v>0</v>
      </c>
      <c r="G10" s="949">
        <v>0</v>
      </c>
      <c r="H10" s="949">
        <v>0</v>
      </c>
      <c r="I10" s="949" t="s">
        <v>1918</v>
      </c>
      <c r="J10" s="949" t="s">
        <v>1918</v>
      </c>
      <c r="K10" s="949"/>
      <c r="L10" s="949">
        <v>1</v>
      </c>
      <c r="M10" s="950"/>
      <c r="N10" s="950"/>
      <c r="O10" s="951">
        <f>+IFERROR(IF((H10+L10)/D10&gt;=100%,100%,(H10+L10)/D10),0)</f>
        <v>1</v>
      </c>
      <c r="P10" s="951">
        <f>+IFERROR(IF((I10+M10)/E10&gt;=100%,100%,(I10+M10)/E10),0)</f>
        <v>0</v>
      </c>
      <c r="Q10" s="951">
        <f>+IFERROR(IF((J10+N10)/F10&gt;=100%,100%,(J10+N10)/F10),0)</f>
        <v>0</v>
      </c>
      <c r="R10" s="951">
        <f>+IFERROR(IF(K10/G10&gt;=100%,100%,K10/G10),0)</f>
        <v>0</v>
      </c>
      <c r="S10" s="952"/>
      <c r="T10" s="953"/>
      <c r="U10" s="954"/>
      <c r="V10" s="912"/>
      <c r="W10" s="953"/>
      <c r="X10" s="953"/>
      <c r="Y10" s="955">
        <f>SUM(D10:G10)</f>
        <v>1</v>
      </c>
      <c r="Z10" s="956">
        <f>SUM(H10:N10)</f>
        <v>1</v>
      </c>
      <c r="AA10" s="957">
        <f>IF(Z10/Y10&gt;=100%,100%,Z10/Y10)</f>
        <v>1</v>
      </c>
      <c r="AB10" s="951">
        <v>0.15</v>
      </c>
      <c r="AC10" s="951">
        <v>0.21</v>
      </c>
      <c r="AD10" s="951">
        <v>0</v>
      </c>
      <c r="AE10" s="951">
        <v>0</v>
      </c>
      <c r="AF10" s="951">
        <v>0</v>
      </c>
      <c r="AG10" s="958">
        <v>0</v>
      </c>
      <c r="AH10" s="958">
        <v>100000000</v>
      </c>
      <c r="AI10" s="958">
        <v>0</v>
      </c>
      <c r="AJ10" s="958"/>
      <c r="AK10" s="958"/>
      <c r="AL10" s="959" t="e">
        <f>+AK10/AG10</f>
        <v>#DIV/0!</v>
      </c>
      <c r="AM10" s="958">
        <v>92612600</v>
      </c>
      <c r="AN10" s="958">
        <v>0</v>
      </c>
      <c r="AO10" s="958"/>
      <c r="AP10" s="958"/>
      <c r="AQ10" s="960" t="e">
        <f>+AP10/AG10</f>
        <v>#DIV/0!</v>
      </c>
      <c r="AR10" s="958">
        <f t="shared" ref="AR10:AR23" si="14">+AJ10-AO10</f>
        <v>0</v>
      </c>
      <c r="AS10" s="961">
        <v>7387400</v>
      </c>
      <c r="AT10" s="962">
        <v>7357400</v>
      </c>
      <c r="AU10" s="962"/>
      <c r="AV10" s="962"/>
      <c r="AW10" s="962"/>
      <c r="AX10" s="962"/>
      <c r="AY10" s="963" t="e">
        <f t="shared" si="7"/>
        <v>#DIV/0!</v>
      </c>
      <c r="AZ10" s="964">
        <v>1330000000</v>
      </c>
      <c r="BA10" s="965">
        <f>SUM(AH10:AK10)</f>
        <v>100000000</v>
      </c>
      <c r="BB10" s="966">
        <f>+BA10/AZ10</f>
        <v>7.5187969924812026E-2</v>
      </c>
      <c r="BC10" s="965">
        <f>SUM(AM10:AP10)+AT10+AV10+AX10</f>
        <v>99970000</v>
      </c>
      <c r="BD10" s="967">
        <f>+BC10/AZ10</f>
        <v>7.5165413533834588E-2</v>
      </c>
      <c r="BE10" s="968"/>
      <c r="BF10" s="969"/>
      <c r="BG10" s="953" t="s">
        <v>1144</v>
      </c>
      <c r="BH10" s="1388" t="s">
        <v>2109</v>
      </c>
    </row>
    <row r="11" spans="1:61" s="908" customFormat="1" ht="93" hidden="1" customHeight="1">
      <c r="A11" s="947" t="s">
        <v>2110</v>
      </c>
      <c r="B11" s="948" t="s">
        <v>2111</v>
      </c>
      <c r="C11" s="948" t="s">
        <v>2108</v>
      </c>
      <c r="D11" s="949">
        <v>1</v>
      </c>
      <c r="E11" s="949">
        <v>1</v>
      </c>
      <c r="F11" s="949">
        <v>0</v>
      </c>
      <c r="G11" s="949">
        <v>0</v>
      </c>
      <c r="H11" s="949">
        <v>0</v>
      </c>
      <c r="I11" s="949">
        <v>0</v>
      </c>
      <c r="J11" s="949">
        <v>0</v>
      </c>
      <c r="K11" s="949"/>
      <c r="L11" s="950"/>
      <c r="M11" s="950"/>
      <c r="N11" s="950"/>
      <c r="O11" s="951">
        <f t="shared" ref="O11:Q21" si="15">+IFERROR(IF((H11+L11)/D11&gt;=100%,100%,(H11+L11)/D11),0)</f>
        <v>0</v>
      </c>
      <c r="P11" s="951">
        <f t="shared" si="15"/>
        <v>0</v>
      </c>
      <c r="Q11" s="951">
        <f t="shared" si="15"/>
        <v>0</v>
      </c>
      <c r="R11" s="951">
        <f t="shared" ref="R11:R21" si="16">+IFERROR(IF(K11/G11&gt;=100%,100%,K11/G11),0)</f>
        <v>0</v>
      </c>
      <c r="S11" s="953"/>
      <c r="T11" s="953"/>
      <c r="U11" s="954"/>
      <c r="V11" s="912"/>
      <c r="W11" s="953"/>
      <c r="X11" s="953"/>
      <c r="Y11" s="949">
        <f t="shared" ref="Y11:Y21" si="17">SUM(D11:G11)</f>
        <v>2</v>
      </c>
      <c r="Z11" s="956">
        <f t="shared" ref="Z11:Z21" si="18">SUM(H11:N11)</f>
        <v>0</v>
      </c>
      <c r="AA11" s="957">
        <f t="shared" ref="AA11:AA13" si="19">IF(Z11/Y11&gt;=100%,100%,Z11/Y11)</f>
        <v>0</v>
      </c>
      <c r="AB11" s="951">
        <v>0.08</v>
      </c>
      <c r="AC11" s="951">
        <v>0.13</v>
      </c>
      <c r="AD11" s="951">
        <v>0.12</v>
      </c>
      <c r="AE11" s="951">
        <v>0</v>
      </c>
      <c r="AF11" s="951">
        <v>0</v>
      </c>
      <c r="AG11" s="961">
        <v>0</v>
      </c>
      <c r="AH11" s="958">
        <v>60000000</v>
      </c>
      <c r="AI11" s="958">
        <v>277196619.19999999</v>
      </c>
      <c r="AJ11" s="958"/>
      <c r="AK11" s="958"/>
      <c r="AL11" s="959" t="e">
        <f t="shared" ref="AL11:AL74" si="20">+AK11/AG11</f>
        <v>#DIV/0!</v>
      </c>
      <c r="AM11" s="958">
        <v>30000000</v>
      </c>
      <c r="AN11" s="958">
        <v>265944498</v>
      </c>
      <c r="AO11" s="958"/>
      <c r="AP11" s="958"/>
      <c r="AQ11" s="971" t="e">
        <f t="shared" ref="AQ11:AQ74" si="21">+AP11/AG11</f>
        <v>#DIV/0!</v>
      </c>
      <c r="AR11" s="958">
        <f t="shared" si="14"/>
        <v>0</v>
      </c>
      <c r="AS11" s="961">
        <v>30000000</v>
      </c>
      <c r="AT11" s="962">
        <v>30000000</v>
      </c>
      <c r="AU11" s="962">
        <v>11252121.199999999</v>
      </c>
      <c r="AV11" s="962">
        <v>9623548.1999999993</v>
      </c>
      <c r="AW11" s="962"/>
      <c r="AX11" s="962"/>
      <c r="AY11" s="963" t="e">
        <f t="shared" si="7"/>
        <v>#DIV/0!</v>
      </c>
      <c r="AZ11" s="964">
        <v>577196620</v>
      </c>
      <c r="BA11" s="965">
        <f t="shared" ref="BA11:BA74" si="22">SUM(AH11:AK11)</f>
        <v>337196619.19999999</v>
      </c>
      <c r="BB11" s="966">
        <f t="shared" si="9"/>
        <v>0.5841971479320166</v>
      </c>
      <c r="BC11" s="972">
        <f t="shared" ref="BC11:BC74" si="23">SUM(AM11:AP11)+AT11+AV11+AX11</f>
        <v>335568046.19999999</v>
      </c>
      <c r="BD11" s="966">
        <f t="shared" ref="BD11:BD74" si="24">+BC11/AZ11</f>
        <v>0.58137562586558456</v>
      </c>
      <c r="BE11" s="968"/>
      <c r="BF11" s="969"/>
      <c r="BG11" s="953" t="s">
        <v>1144</v>
      </c>
      <c r="BH11" s="1370"/>
    </row>
    <row r="12" spans="1:61" s="908" customFormat="1" ht="47.4" customHeight="1">
      <c r="A12" s="947" t="s">
        <v>2112</v>
      </c>
      <c r="B12" s="948" t="s">
        <v>2113</v>
      </c>
      <c r="C12" s="948" t="s">
        <v>1056</v>
      </c>
      <c r="D12" s="951">
        <v>0.1</v>
      </c>
      <c r="E12" s="951">
        <v>0.1</v>
      </c>
      <c r="F12" s="951">
        <v>0.1</v>
      </c>
      <c r="G12" s="951">
        <v>0.1</v>
      </c>
      <c r="H12" s="951">
        <v>0.1</v>
      </c>
      <c r="I12" s="951">
        <v>0.1</v>
      </c>
      <c r="J12" s="951">
        <v>0.1</v>
      </c>
      <c r="K12" s="951">
        <v>0.1</v>
      </c>
      <c r="L12" s="949"/>
      <c r="M12" s="949"/>
      <c r="N12" s="949"/>
      <c r="O12" s="951">
        <f t="shared" si="15"/>
        <v>1</v>
      </c>
      <c r="P12" s="951">
        <f t="shared" si="15"/>
        <v>1</v>
      </c>
      <c r="Q12" s="973">
        <f t="shared" si="15"/>
        <v>1</v>
      </c>
      <c r="R12" s="951">
        <f t="shared" si="16"/>
        <v>1</v>
      </c>
      <c r="S12" s="953" t="s">
        <v>2114</v>
      </c>
      <c r="T12" s="974">
        <v>45107</v>
      </c>
      <c r="U12" s="975" t="s">
        <v>2115</v>
      </c>
      <c r="V12" s="912"/>
      <c r="W12" s="953" t="s">
        <v>2116</v>
      </c>
      <c r="X12" s="976">
        <v>267</v>
      </c>
      <c r="Y12" s="951">
        <f t="shared" si="17"/>
        <v>0.4</v>
      </c>
      <c r="Z12" s="977">
        <f t="shared" si="18"/>
        <v>0.4</v>
      </c>
      <c r="AA12" s="957">
        <f t="shared" si="19"/>
        <v>1</v>
      </c>
      <c r="AB12" s="951">
        <v>0.08</v>
      </c>
      <c r="AC12" s="951">
        <v>0.14000000000000001</v>
      </c>
      <c r="AD12" s="951">
        <v>0.13</v>
      </c>
      <c r="AE12" s="978">
        <v>0.17</v>
      </c>
      <c r="AF12" s="951">
        <v>0.125</v>
      </c>
      <c r="AG12" s="958">
        <v>150019282</v>
      </c>
      <c r="AH12" s="958">
        <v>199891740</v>
      </c>
      <c r="AI12" s="958">
        <v>77543235</v>
      </c>
      <c r="AJ12" s="958">
        <v>115778932</v>
      </c>
      <c r="AK12" s="958">
        <v>149962984.75</v>
      </c>
      <c r="AL12" s="959">
        <f t="shared" si="20"/>
        <v>0.99962473323929124</v>
      </c>
      <c r="AM12" s="958">
        <v>0</v>
      </c>
      <c r="AN12" s="958">
        <v>62702998</v>
      </c>
      <c r="AO12" s="958">
        <v>112969093</v>
      </c>
      <c r="AP12" s="958">
        <v>138839270.75</v>
      </c>
      <c r="AQ12" s="971">
        <f t="shared" si="21"/>
        <v>0.92547617145641314</v>
      </c>
      <c r="AR12" s="958">
        <f t="shared" si="14"/>
        <v>2809839</v>
      </c>
      <c r="AS12" s="961">
        <v>199891740</v>
      </c>
      <c r="AT12" s="961">
        <v>189967522</v>
      </c>
      <c r="AU12" s="961">
        <v>14840237</v>
      </c>
      <c r="AV12" s="961">
        <v>10438002</v>
      </c>
      <c r="AW12" s="961">
        <v>2809839</v>
      </c>
      <c r="AX12" s="961">
        <v>2636344</v>
      </c>
      <c r="AY12" s="963">
        <f t="shared" si="7"/>
        <v>0</v>
      </c>
      <c r="AZ12" s="964">
        <v>560000000</v>
      </c>
      <c r="BA12" s="965">
        <f t="shared" si="22"/>
        <v>543176891.75</v>
      </c>
      <c r="BB12" s="966">
        <f t="shared" si="9"/>
        <v>0.96995873526785714</v>
      </c>
      <c r="BC12" s="972">
        <f t="shared" si="23"/>
        <v>517553229.75</v>
      </c>
      <c r="BD12" s="966">
        <f t="shared" si="24"/>
        <v>0.92420219598214282</v>
      </c>
      <c r="BE12" s="968"/>
      <c r="BF12" s="969"/>
      <c r="BG12" s="953" t="s">
        <v>219</v>
      </c>
      <c r="BH12" s="1388" t="s">
        <v>2109</v>
      </c>
    </row>
    <row r="13" spans="1:61" s="908" customFormat="1" ht="47.4" customHeight="1">
      <c r="A13" s="947" t="s">
        <v>2117</v>
      </c>
      <c r="B13" s="948" t="s">
        <v>2118</v>
      </c>
      <c r="C13" s="948" t="s">
        <v>1056</v>
      </c>
      <c r="D13" s="951">
        <v>0</v>
      </c>
      <c r="E13" s="951">
        <v>0.1</v>
      </c>
      <c r="F13" s="951">
        <v>0.1</v>
      </c>
      <c r="G13" s="951">
        <v>0.1</v>
      </c>
      <c r="H13" s="951">
        <v>0</v>
      </c>
      <c r="I13" s="951">
        <v>0</v>
      </c>
      <c r="J13" s="951">
        <v>0</v>
      </c>
      <c r="K13" s="951">
        <v>0.1</v>
      </c>
      <c r="L13" s="949"/>
      <c r="M13" s="949"/>
      <c r="N13" s="949"/>
      <c r="O13" s="951">
        <f t="shared" si="15"/>
        <v>0</v>
      </c>
      <c r="P13" s="951">
        <f t="shared" si="15"/>
        <v>0</v>
      </c>
      <c r="Q13" s="973">
        <f t="shared" si="15"/>
        <v>0</v>
      </c>
      <c r="R13" s="951">
        <f t="shared" si="16"/>
        <v>1</v>
      </c>
      <c r="S13" s="953" t="s">
        <v>2119</v>
      </c>
      <c r="T13" s="974">
        <v>45107</v>
      </c>
      <c r="U13" s="954"/>
      <c r="V13" s="912"/>
      <c r="W13" s="953"/>
      <c r="X13" s="953"/>
      <c r="Y13" s="951">
        <f t="shared" si="17"/>
        <v>0.30000000000000004</v>
      </c>
      <c r="Z13" s="977">
        <f t="shared" si="18"/>
        <v>0.1</v>
      </c>
      <c r="AA13" s="957">
        <f t="shared" si="19"/>
        <v>0.33333333333333331</v>
      </c>
      <c r="AB13" s="951">
        <v>0.05</v>
      </c>
      <c r="AC13" s="951">
        <v>0</v>
      </c>
      <c r="AD13" s="951">
        <v>7.0000000000000007E-2</v>
      </c>
      <c r="AE13" s="978">
        <v>0.13</v>
      </c>
      <c r="AF13" s="951">
        <v>0.125</v>
      </c>
      <c r="AG13" s="958">
        <v>140000000</v>
      </c>
      <c r="AH13" s="958" t="s">
        <v>2120</v>
      </c>
      <c r="AI13" s="958">
        <v>79052654</v>
      </c>
      <c r="AJ13" s="958">
        <v>116938086.84</v>
      </c>
      <c r="AK13" s="958">
        <v>139994089</v>
      </c>
      <c r="AL13" s="959">
        <f t="shared" si="20"/>
        <v>0.99995777857142853</v>
      </c>
      <c r="AM13" s="958" t="s">
        <v>2120</v>
      </c>
      <c r="AN13" s="958">
        <v>35880412</v>
      </c>
      <c r="AO13" s="958">
        <v>113037976</v>
      </c>
      <c r="AP13" s="958">
        <v>139094089</v>
      </c>
      <c r="AQ13" s="971">
        <f t="shared" si="21"/>
        <v>0.9935292071428572</v>
      </c>
      <c r="AR13" s="958">
        <f t="shared" si="14"/>
        <v>3900110.8400000036</v>
      </c>
      <c r="AS13" s="961">
        <v>0</v>
      </c>
      <c r="AT13" s="961">
        <v>0</v>
      </c>
      <c r="AU13" s="961">
        <v>43172242</v>
      </c>
      <c r="AV13" s="961">
        <v>41441633</v>
      </c>
      <c r="AW13" s="961">
        <v>3900110.84</v>
      </c>
      <c r="AX13" s="961">
        <v>3643672.84</v>
      </c>
      <c r="AY13" s="963">
        <f t="shared" si="7"/>
        <v>0</v>
      </c>
      <c r="AZ13" s="964">
        <v>360000000</v>
      </c>
      <c r="BA13" s="965">
        <f t="shared" si="22"/>
        <v>335984829.84000003</v>
      </c>
      <c r="BB13" s="966">
        <f t="shared" si="9"/>
        <v>0.93329119400000005</v>
      </c>
      <c r="BC13" s="972">
        <f t="shared" si="23"/>
        <v>333097782.83999997</v>
      </c>
      <c r="BD13" s="966">
        <f t="shared" si="24"/>
        <v>0.92527161899999988</v>
      </c>
      <c r="BE13" s="968"/>
      <c r="BF13" s="969"/>
      <c r="BG13" s="953" t="s">
        <v>219</v>
      </c>
      <c r="BH13" s="1370"/>
    </row>
    <row r="14" spans="1:61" s="908" customFormat="1" ht="47.4" customHeight="1">
      <c r="A14" s="947" t="s">
        <v>2121</v>
      </c>
      <c r="B14" s="948" t="s">
        <v>2122</v>
      </c>
      <c r="C14" s="948" t="s">
        <v>1056</v>
      </c>
      <c r="D14" s="1219">
        <v>0</v>
      </c>
      <c r="E14" s="951">
        <v>0.1</v>
      </c>
      <c r="F14" s="951">
        <v>0.1</v>
      </c>
      <c r="G14" s="951">
        <v>0.1</v>
      </c>
      <c r="H14" s="951">
        <v>0</v>
      </c>
      <c r="I14" s="951">
        <v>0</v>
      </c>
      <c r="J14" s="951">
        <v>0</v>
      </c>
      <c r="K14" s="951">
        <v>0.1</v>
      </c>
      <c r="L14" s="949"/>
      <c r="M14" s="949"/>
      <c r="N14" s="949"/>
      <c r="O14" s="951">
        <f t="shared" si="15"/>
        <v>0</v>
      </c>
      <c r="P14" s="951">
        <f t="shared" si="15"/>
        <v>0</v>
      </c>
      <c r="Q14" s="973">
        <f t="shared" si="15"/>
        <v>0</v>
      </c>
      <c r="R14" s="951">
        <f t="shared" si="16"/>
        <v>1</v>
      </c>
      <c r="S14" s="953" t="s">
        <v>2123</v>
      </c>
      <c r="T14" s="974">
        <v>45107</v>
      </c>
      <c r="U14" s="954"/>
      <c r="V14" s="912"/>
      <c r="W14" s="953"/>
      <c r="X14" s="953"/>
      <c r="Y14" s="951">
        <f t="shared" si="17"/>
        <v>0.30000000000000004</v>
      </c>
      <c r="Z14" s="977">
        <f t="shared" si="18"/>
        <v>0.1</v>
      </c>
      <c r="AA14" s="957">
        <f>IF(Z14/Y14&gt;=100%,100%,Z14/Y14)</f>
        <v>0.33333333333333331</v>
      </c>
      <c r="AB14" s="951">
        <v>0.05</v>
      </c>
      <c r="AC14" s="951">
        <v>0</v>
      </c>
      <c r="AD14" s="951">
        <v>7.0000000000000007E-2</v>
      </c>
      <c r="AE14" s="978">
        <v>0.13</v>
      </c>
      <c r="AF14" s="951">
        <v>0.125</v>
      </c>
      <c r="AG14" s="958">
        <v>147980718</v>
      </c>
      <c r="AH14" s="958" t="s">
        <v>2120</v>
      </c>
      <c r="AI14" s="958">
        <v>84506072</v>
      </c>
      <c r="AJ14" s="958">
        <v>114367577</v>
      </c>
      <c r="AK14" s="958">
        <v>115974788.56999999</v>
      </c>
      <c r="AL14" s="959">
        <f t="shared" si="20"/>
        <v>0.78371554170996782</v>
      </c>
      <c r="AM14" s="958" t="s">
        <v>2120</v>
      </c>
      <c r="AN14" s="958">
        <v>51587902</v>
      </c>
      <c r="AO14" s="958">
        <v>110411467</v>
      </c>
      <c r="AP14" s="958">
        <v>111183964</v>
      </c>
      <c r="AQ14" s="971">
        <f t="shared" si="21"/>
        <v>0.7513408875337394</v>
      </c>
      <c r="AR14" s="958">
        <f t="shared" si="14"/>
        <v>3956110</v>
      </c>
      <c r="AS14" s="961">
        <v>0</v>
      </c>
      <c r="AT14" s="961">
        <v>0</v>
      </c>
      <c r="AU14" s="961">
        <v>32918170</v>
      </c>
      <c r="AV14" s="961">
        <v>30718985</v>
      </c>
      <c r="AW14" s="961">
        <v>3956110</v>
      </c>
      <c r="AX14" s="961">
        <v>3659814</v>
      </c>
      <c r="AY14" s="963">
        <f t="shared" si="7"/>
        <v>0.66639805263251017</v>
      </c>
      <c r="AZ14" s="964">
        <v>460000000</v>
      </c>
      <c r="BA14" s="965">
        <f t="shared" si="22"/>
        <v>314848437.56999999</v>
      </c>
      <c r="BB14" s="966">
        <f t="shared" si="9"/>
        <v>0.68445312515217394</v>
      </c>
      <c r="BC14" s="972">
        <f t="shared" si="23"/>
        <v>307562132</v>
      </c>
      <c r="BD14" s="966">
        <f t="shared" si="24"/>
        <v>0.66861333043478266</v>
      </c>
      <c r="BE14" s="968"/>
      <c r="BF14" s="969"/>
      <c r="BG14" s="953" t="s">
        <v>219</v>
      </c>
      <c r="BH14" s="1370"/>
    </row>
    <row r="15" spans="1:61" s="908" customFormat="1" ht="57.75" hidden="1" customHeight="1">
      <c r="A15" s="947" t="s">
        <v>2124</v>
      </c>
      <c r="B15" s="979" t="s">
        <v>2125</v>
      </c>
      <c r="C15" s="980" t="s">
        <v>2108</v>
      </c>
      <c r="D15" s="949">
        <v>1</v>
      </c>
      <c r="E15" s="949">
        <v>0</v>
      </c>
      <c r="F15" s="949">
        <v>0</v>
      </c>
      <c r="G15" s="949">
        <v>0</v>
      </c>
      <c r="H15" s="949">
        <v>0</v>
      </c>
      <c r="I15" s="949">
        <v>0</v>
      </c>
      <c r="J15" s="949"/>
      <c r="K15" s="949"/>
      <c r="L15" s="949">
        <v>1</v>
      </c>
      <c r="M15" s="949"/>
      <c r="N15" s="949"/>
      <c r="O15" s="951">
        <f t="shared" si="15"/>
        <v>1</v>
      </c>
      <c r="P15" s="951">
        <f t="shared" si="15"/>
        <v>0</v>
      </c>
      <c r="Q15" s="951">
        <f t="shared" si="15"/>
        <v>0</v>
      </c>
      <c r="R15" s="951">
        <f t="shared" si="16"/>
        <v>0</v>
      </c>
      <c r="S15" s="953"/>
      <c r="T15" s="953"/>
      <c r="U15" s="954"/>
      <c r="V15" s="912"/>
      <c r="W15" s="953"/>
      <c r="X15" s="953"/>
      <c r="Y15" s="949">
        <f t="shared" si="17"/>
        <v>1</v>
      </c>
      <c r="Z15" s="956">
        <f t="shared" si="18"/>
        <v>1</v>
      </c>
      <c r="AA15" s="957">
        <f t="shared" ref="AA15" si="25">IF(Z15/Y15&gt;=100%,100%,Z15/Y15)</f>
        <v>1</v>
      </c>
      <c r="AB15" s="951">
        <v>0.08</v>
      </c>
      <c r="AC15" s="951">
        <v>0.13</v>
      </c>
      <c r="AD15" s="951">
        <v>0</v>
      </c>
      <c r="AE15" s="971">
        <v>0</v>
      </c>
      <c r="AF15" s="951">
        <v>0</v>
      </c>
      <c r="AG15" s="958"/>
      <c r="AH15" s="958">
        <v>600000000</v>
      </c>
      <c r="AI15" s="958">
        <v>0</v>
      </c>
      <c r="AJ15" s="958"/>
      <c r="AK15" s="958"/>
      <c r="AL15" s="959" t="e">
        <f t="shared" si="20"/>
        <v>#DIV/0!</v>
      </c>
      <c r="AM15" s="958">
        <v>0</v>
      </c>
      <c r="AN15" s="958">
        <v>0</v>
      </c>
      <c r="AO15" s="958"/>
      <c r="AP15" s="958"/>
      <c r="AQ15" s="971" t="e">
        <f t="shared" si="21"/>
        <v>#DIV/0!</v>
      </c>
      <c r="AR15" s="958">
        <f t="shared" si="14"/>
        <v>0</v>
      </c>
      <c r="AS15" s="961">
        <v>600000000</v>
      </c>
      <c r="AT15" s="961">
        <v>589967522</v>
      </c>
      <c r="AU15" s="961"/>
      <c r="AV15" s="961"/>
      <c r="AW15" s="961"/>
      <c r="AX15" s="961"/>
      <c r="AY15" s="963" t="e">
        <f t="shared" si="7"/>
        <v>#DIV/0!</v>
      </c>
      <c r="AZ15" s="964">
        <v>600000000</v>
      </c>
      <c r="BA15" s="965">
        <f t="shared" si="22"/>
        <v>600000000</v>
      </c>
      <c r="BB15" s="966">
        <f t="shared" si="9"/>
        <v>1</v>
      </c>
      <c r="BC15" s="972">
        <f t="shared" si="23"/>
        <v>589967522</v>
      </c>
      <c r="BD15" s="966">
        <f t="shared" si="24"/>
        <v>0.9832792033333333</v>
      </c>
      <c r="BE15" s="968"/>
      <c r="BF15" s="969"/>
      <c r="BG15" s="953" t="s">
        <v>1703</v>
      </c>
      <c r="BH15" s="1388" t="s">
        <v>2109</v>
      </c>
    </row>
    <row r="16" spans="1:61" s="908" customFormat="1" ht="47.4" customHeight="1">
      <c r="A16" s="947" t="s">
        <v>2126</v>
      </c>
      <c r="B16" s="948" t="s">
        <v>2127</v>
      </c>
      <c r="C16" s="980" t="s">
        <v>2108</v>
      </c>
      <c r="D16" s="949">
        <v>0</v>
      </c>
      <c r="E16" s="949">
        <v>0</v>
      </c>
      <c r="F16" s="949">
        <v>0</v>
      </c>
      <c r="G16" s="949">
        <v>1</v>
      </c>
      <c r="H16" s="949">
        <v>0</v>
      </c>
      <c r="I16" s="949">
        <v>0</v>
      </c>
      <c r="J16" s="949">
        <v>0</v>
      </c>
      <c r="K16" s="1323">
        <v>1</v>
      </c>
      <c r="L16" s="949"/>
      <c r="M16" s="949"/>
      <c r="N16" s="949"/>
      <c r="O16" s="951">
        <f t="shared" si="15"/>
        <v>0</v>
      </c>
      <c r="P16" s="951">
        <f t="shared" si="15"/>
        <v>0</v>
      </c>
      <c r="Q16" s="951">
        <f t="shared" si="15"/>
        <v>0</v>
      </c>
      <c r="R16" s="951">
        <f t="shared" si="16"/>
        <v>1</v>
      </c>
      <c r="S16" s="953" t="s">
        <v>2128</v>
      </c>
      <c r="T16" s="974">
        <v>45107</v>
      </c>
      <c r="U16" s="954"/>
      <c r="V16" s="912"/>
      <c r="W16" s="953"/>
      <c r="X16" s="953"/>
      <c r="Y16" s="949">
        <f t="shared" si="17"/>
        <v>1</v>
      </c>
      <c r="Z16" s="956">
        <f t="shared" si="18"/>
        <v>1</v>
      </c>
      <c r="AA16" s="957">
        <f>IF(Z16/Y16&gt;=100%,100%,Z16/Y16)</f>
        <v>1</v>
      </c>
      <c r="AB16" s="951">
        <v>0.08</v>
      </c>
      <c r="AC16" s="951">
        <v>0</v>
      </c>
      <c r="AD16" s="951">
        <v>0</v>
      </c>
      <c r="AE16" s="971">
        <v>0</v>
      </c>
      <c r="AF16" s="951">
        <v>0.125</v>
      </c>
      <c r="AG16" s="958">
        <v>705366669</v>
      </c>
      <c r="AH16" s="958" t="s">
        <v>2120</v>
      </c>
      <c r="AI16" s="958">
        <v>0</v>
      </c>
      <c r="AJ16" s="958"/>
      <c r="AK16" s="958">
        <v>704404306</v>
      </c>
      <c r="AL16" s="959">
        <f t="shared" si="20"/>
        <v>0.99863565569186263</v>
      </c>
      <c r="AM16" s="958" t="s">
        <v>2120</v>
      </c>
      <c r="AN16" s="958">
        <v>0</v>
      </c>
      <c r="AO16" s="958"/>
      <c r="AP16" s="958">
        <v>260051699</v>
      </c>
      <c r="AQ16" s="971">
        <f t="shared" si="21"/>
        <v>0.36867591059934246</v>
      </c>
      <c r="AR16" s="958">
        <f t="shared" si="14"/>
        <v>0</v>
      </c>
      <c r="AS16" s="961">
        <v>0</v>
      </c>
      <c r="AT16" s="961">
        <v>0</v>
      </c>
      <c r="AU16" s="961"/>
      <c r="AV16" s="961"/>
      <c r="AW16" s="961"/>
      <c r="AX16" s="961"/>
      <c r="AY16" s="963" t="e">
        <f t="shared" si="7"/>
        <v>#DIV/0!</v>
      </c>
      <c r="AZ16" s="964">
        <v>705366669</v>
      </c>
      <c r="BA16" s="965">
        <f t="shared" si="22"/>
        <v>704404306</v>
      </c>
      <c r="BB16" s="966">
        <f t="shared" si="9"/>
        <v>0.99863565569186263</v>
      </c>
      <c r="BC16" s="972">
        <f t="shared" si="23"/>
        <v>260051699</v>
      </c>
      <c r="BD16" s="966">
        <f t="shared" si="24"/>
        <v>0.36867591059934246</v>
      </c>
      <c r="BE16" s="968"/>
      <c r="BF16" s="969"/>
      <c r="BG16" s="953" t="s">
        <v>1144</v>
      </c>
      <c r="BH16" s="1370"/>
    </row>
    <row r="17" spans="1:61" s="908" customFormat="1" ht="47.4" customHeight="1">
      <c r="A17" s="947" t="s">
        <v>2129</v>
      </c>
      <c r="B17" s="948" t="s">
        <v>2130</v>
      </c>
      <c r="C17" s="980" t="s">
        <v>2108</v>
      </c>
      <c r="D17" s="949">
        <v>3</v>
      </c>
      <c r="E17" s="949">
        <v>1</v>
      </c>
      <c r="F17" s="981">
        <v>0.1</v>
      </c>
      <c r="G17" s="981">
        <v>1</v>
      </c>
      <c r="H17" s="949">
        <v>3</v>
      </c>
      <c r="I17" s="949">
        <v>0</v>
      </c>
      <c r="J17" s="982">
        <v>0.08</v>
      </c>
      <c r="K17" s="981">
        <v>1</v>
      </c>
      <c r="L17" s="949"/>
      <c r="M17" s="983"/>
      <c r="N17" s="981">
        <v>1.02</v>
      </c>
      <c r="O17" s="951">
        <f t="shared" si="15"/>
        <v>1</v>
      </c>
      <c r="P17" s="951">
        <f t="shared" si="15"/>
        <v>0</v>
      </c>
      <c r="Q17" s="951">
        <f t="shared" si="15"/>
        <v>1</v>
      </c>
      <c r="R17" s="951">
        <f t="shared" si="16"/>
        <v>1</v>
      </c>
      <c r="S17" s="953" t="s">
        <v>2131</v>
      </c>
      <c r="T17" s="974">
        <v>45107</v>
      </c>
      <c r="U17" s="984" t="s">
        <v>2115</v>
      </c>
      <c r="V17" s="985"/>
      <c r="W17" s="952" t="s">
        <v>2116</v>
      </c>
      <c r="X17" s="952">
        <v>257</v>
      </c>
      <c r="Y17" s="949">
        <f t="shared" si="17"/>
        <v>5.0999999999999996</v>
      </c>
      <c r="Z17" s="956">
        <f t="shared" si="18"/>
        <v>5.0999999999999996</v>
      </c>
      <c r="AA17" s="957">
        <f t="shared" ref="AA17:AA18" si="26">IF(Z17/Y17&gt;=100%,100%,Z17/Y17)</f>
        <v>1</v>
      </c>
      <c r="AB17" s="951">
        <v>0.1</v>
      </c>
      <c r="AC17" s="951">
        <v>0.16</v>
      </c>
      <c r="AD17" s="951">
        <v>0.15</v>
      </c>
      <c r="AE17" s="978">
        <v>0.18</v>
      </c>
      <c r="AF17" s="951">
        <v>0.125</v>
      </c>
      <c r="AG17" s="958">
        <v>583188080</v>
      </c>
      <c r="AH17" s="958">
        <v>0</v>
      </c>
      <c r="AI17" s="958">
        <v>38011318</v>
      </c>
      <c r="AJ17" s="958">
        <v>544866789</v>
      </c>
      <c r="AK17" s="958">
        <v>583188000</v>
      </c>
      <c r="AL17" s="959">
        <f t="shared" si="20"/>
        <v>0.99999986282298503</v>
      </c>
      <c r="AM17" s="958">
        <v>0</v>
      </c>
      <c r="AN17" s="958">
        <v>37199404</v>
      </c>
      <c r="AO17" s="958">
        <v>359608367</v>
      </c>
      <c r="AP17" s="958">
        <v>583187998</v>
      </c>
      <c r="AQ17" s="971">
        <f t="shared" si="21"/>
        <v>0.99999985939355962</v>
      </c>
      <c r="AR17" s="958">
        <f t="shared" si="14"/>
        <v>185258422</v>
      </c>
      <c r="AS17" s="961">
        <v>0</v>
      </c>
      <c r="AT17" s="961">
        <v>0</v>
      </c>
      <c r="AU17" s="961">
        <v>811914</v>
      </c>
      <c r="AV17" s="961">
        <v>604590</v>
      </c>
      <c r="AW17" s="961">
        <v>185258422</v>
      </c>
      <c r="AX17" s="961">
        <v>184702223</v>
      </c>
      <c r="AY17" s="963">
        <f t="shared" si="7"/>
        <v>0</v>
      </c>
      <c r="AZ17" s="964">
        <v>1282890287</v>
      </c>
      <c r="BA17" s="965">
        <f t="shared" si="22"/>
        <v>1166066107</v>
      </c>
      <c r="BB17" s="966">
        <f t="shared" si="9"/>
        <v>0.90893673357431848</v>
      </c>
      <c r="BC17" s="972">
        <f t="shared" si="23"/>
        <v>1165302582</v>
      </c>
      <c r="BD17" s="966">
        <f t="shared" si="24"/>
        <v>0.90834157356123157</v>
      </c>
      <c r="BE17" s="968"/>
      <c r="BF17" s="969"/>
      <c r="BG17" s="953" t="s">
        <v>130</v>
      </c>
      <c r="BH17" s="1370"/>
    </row>
    <row r="18" spans="1:61" s="908" customFormat="1" ht="47.4" customHeight="1">
      <c r="A18" s="947" t="s">
        <v>2132</v>
      </c>
      <c r="B18" s="979" t="s">
        <v>2133</v>
      </c>
      <c r="C18" s="980" t="s">
        <v>2108</v>
      </c>
      <c r="D18" s="949">
        <v>0</v>
      </c>
      <c r="E18" s="981">
        <v>0.1</v>
      </c>
      <c r="F18" s="949">
        <v>0</v>
      </c>
      <c r="G18" s="949">
        <v>1</v>
      </c>
      <c r="H18" s="949">
        <v>0</v>
      </c>
      <c r="I18" s="981">
        <v>0</v>
      </c>
      <c r="J18" s="949">
        <v>0</v>
      </c>
      <c r="K18" s="982">
        <v>1</v>
      </c>
      <c r="L18" s="949"/>
      <c r="M18" s="949">
        <v>0.1</v>
      </c>
      <c r="N18" s="949"/>
      <c r="O18" s="973">
        <f t="shared" si="15"/>
        <v>0</v>
      </c>
      <c r="P18" s="951">
        <f t="shared" si="15"/>
        <v>1</v>
      </c>
      <c r="Q18" s="951">
        <f t="shared" si="15"/>
        <v>0</v>
      </c>
      <c r="R18" s="951">
        <f t="shared" si="16"/>
        <v>1</v>
      </c>
      <c r="S18" s="952" t="s">
        <v>2134</v>
      </c>
      <c r="T18" s="974">
        <v>45107</v>
      </c>
      <c r="U18" s="984" t="s">
        <v>2115</v>
      </c>
      <c r="V18" s="985"/>
      <c r="W18" s="952" t="s">
        <v>2116</v>
      </c>
      <c r="X18" s="952" t="s">
        <v>2135</v>
      </c>
      <c r="Y18" s="950">
        <f t="shared" si="17"/>
        <v>1.1000000000000001</v>
      </c>
      <c r="Z18" s="956">
        <f t="shared" si="18"/>
        <v>1.1000000000000001</v>
      </c>
      <c r="AA18" s="957">
        <f t="shared" si="26"/>
        <v>1</v>
      </c>
      <c r="AB18" s="951">
        <v>0.08</v>
      </c>
      <c r="AC18" s="951">
        <v>0</v>
      </c>
      <c r="AD18" s="973">
        <v>0.12</v>
      </c>
      <c r="AE18" s="971">
        <v>0</v>
      </c>
      <c r="AF18" s="951">
        <v>0.125</v>
      </c>
      <c r="AG18" s="958">
        <v>371100372</v>
      </c>
      <c r="AH18" s="987">
        <v>0</v>
      </c>
      <c r="AI18" s="958">
        <v>42093925</v>
      </c>
      <c r="AJ18" s="958"/>
      <c r="AK18" s="958">
        <v>371100372</v>
      </c>
      <c r="AL18" s="959">
        <f t="shared" si="20"/>
        <v>1</v>
      </c>
      <c r="AM18" s="987">
        <v>0</v>
      </c>
      <c r="AN18" s="958">
        <v>41733074</v>
      </c>
      <c r="AO18" s="958"/>
      <c r="AP18" s="958">
        <v>251100372</v>
      </c>
      <c r="AQ18" s="971">
        <f t="shared" si="21"/>
        <v>0.67663734920750762</v>
      </c>
      <c r="AR18" s="958">
        <f t="shared" si="14"/>
        <v>0</v>
      </c>
      <c r="AS18" s="961">
        <v>0</v>
      </c>
      <c r="AT18" s="961">
        <v>0</v>
      </c>
      <c r="AU18" s="961">
        <v>360851</v>
      </c>
      <c r="AV18" s="961">
        <v>268707</v>
      </c>
      <c r="AW18" s="961"/>
      <c r="AX18" s="961"/>
      <c r="AY18" s="963" t="e">
        <f t="shared" si="7"/>
        <v>#DIV/0!</v>
      </c>
      <c r="AZ18" s="964">
        <v>571100372</v>
      </c>
      <c r="BA18" s="965">
        <f t="shared" si="22"/>
        <v>413194297</v>
      </c>
      <c r="BB18" s="966">
        <f t="shared" si="9"/>
        <v>0.72350556444743486</v>
      </c>
      <c r="BC18" s="972">
        <f t="shared" si="23"/>
        <v>293102153</v>
      </c>
      <c r="BD18" s="966">
        <f t="shared" si="24"/>
        <v>0.51322353717535307</v>
      </c>
      <c r="BE18" s="968"/>
      <c r="BF18" s="969"/>
      <c r="BG18" s="953" t="s">
        <v>1703</v>
      </c>
      <c r="BH18" s="970" t="s">
        <v>2136</v>
      </c>
    </row>
    <row r="19" spans="1:61" s="908" customFormat="1" ht="63" hidden="1" customHeight="1">
      <c r="A19" s="947" t="s">
        <v>2137</v>
      </c>
      <c r="B19" s="979" t="s">
        <v>2138</v>
      </c>
      <c r="C19" s="980" t="s">
        <v>2108</v>
      </c>
      <c r="D19" s="949">
        <v>1</v>
      </c>
      <c r="E19" s="949">
        <v>0</v>
      </c>
      <c r="F19" s="949">
        <v>0</v>
      </c>
      <c r="G19" s="949">
        <v>0</v>
      </c>
      <c r="H19" s="949">
        <v>1</v>
      </c>
      <c r="I19" s="949">
        <v>0</v>
      </c>
      <c r="J19" s="949"/>
      <c r="K19" s="949"/>
      <c r="L19" s="949"/>
      <c r="M19" s="949"/>
      <c r="N19" s="949"/>
      <c r="O19" s="951">
        <f t="shared" si="15"/>
        <v>1</v>
      </c>
      <c r="P19" s="951">
        <f t="shared" si="15"/>
        <v>0</v>
      </c>
      <c r="Q19" s="951">
        <f t="shared" si="15"/>
        <v>0</v>
      </c>
      <c r="R19" s="951">
        <f t="shared" si="16"/>
        <v>0</v>
      </c>
      <c r="S19" s="952"/>
      <c r="T19" s="953"/>
      <c r="U19" s="954"/>
      <c r="V19" s="912"/>
      <c r="W19" s="953"/>
      <c r="X19" s="953"/>
      <c r="Y19" s="949">
        <f t="shared" si="17"/>
        <v>1</v>
      </c>
      <c r="Z19" s="956">
        <f t="shared" si="18"/>
        <v>1</v>
      </c>
      <c r="AA19" s="957">
        <f>IF(Z19/Y19&gt;=100%,100%,Z19/Y19)</f>
        <v>1</v>
      </c>
      <c r="AB19" s="951">
        <v>0.02</v>
      </c>
      <c r="AC19" s="951">
        <v>0.1</v>
      </c>
      <c r="AD19" s="951">
        <v>0</v>
      </c>
      <c r="AE19" s="971">
        <v>0</v>
      </c>
      <c r="AF19" s="951">
        <v>0</v>
      </c>
      <c r="AG19" s="958"/>
      <c r="AH19" s="958">
        <v>27500000</v>
      </c>
      <c r="AI19" s="958">
        <v>0</v>
      </c>
      <c r="AJ19" s="958"/>
      <c r="AK19" s="958"/>
      <c r="AL19" s="959" t="e">
        <f t="shared" si="20"/>
        <v>#DIV/0!</v>
      </c>
      <c r="AM19" s="958">
        <v>27500000</v>
      </c>
      <c r="AN19" s="958">
        <v>0</v>
      </c>
      <c r="AO19" s="958"/>
      <c r="AP19" s="958"/>
      <c r="AQ19" s="971" t="e">
        <f t="shared" si="21"/>
        <v>#DIV/0!</v>
      </c>
      <c r="AR19" s="958">
        <f t="shared" si="14"/>
        <v>0</v>
      </c>
      <c r="AS19" s="961">
        <v>0</v>
      </c>
      <c r="AT19" s="961">
        <v>0</v>
      </c>
      <c r="AU19" s="961"/>
      <c r="AV19" s="961"/>
      <c r="AW19" s="961"/>
      <c r="AX19" s="961"/>
      <c r="AY19" s="963" t="e">
        <f t="shared" si="7"/>
        <v>#DIV/0!</v>
      </c>
      <c r="AZ19" s="964">
        <v>100000000</v>
      </c>
      <c r="BA19" s="965">
        <f t="shared" si="22"/>
        <v>27500000</v>
      </c>
      <c r="BB19" s="966">
        <f t="shared" si="9"/>
        <v>0.27500000000000002</v>
      </c>
      <c r="BC19" s="972">
        <f t="shared" si="23"/>
        <v>27500000</v>
      </c>
      <c r="BD19" s="966">
        <f t="shared" si="24"/>
        <v>0.27500000000000002</v>
      </c>
      <c r="BE19" s="968"/>
      <c r="BF19" s="969"/>
      <c r="BG19" s="953" t="s">
        <v>1703</v>
      </c>
      <c r="BH19" s="970" t="s">
        <v>2109</v>
      </c>
    </row>
    <row r="20" spans="1:61" s="908" customFormat="1" ht="47.4" customHeight="1">
      <c r="A20" s="947" t="s">
        <v>2139</v>
      </c>
      <c r="B20" s="979" t="s">
        <v>2140</v>
      </c>
      <c r="C20" s="980" t="s">
        <v>2108</v>
      </c>
      <c r="D20" s="949">
        <v>0</v>
      </c>
      <c r="E20" s="949">
        <v>1</v>
      </c>
      <c r="F20" s="981">
        <v>0.1</v>
      </c>
      <c r="G20" s="981">
        <v>1</v>
      </c>
      <c r="H20" s="949">
        <v>0</v>
      </c>
      <c r="I20" s="949">
        <v>0</v>
      </c>
      <c r="J20" s="982">
        <v>0.08</v>
      </c>
      <c r="K20" s="982">
        <v>1</v>
      </c>
      <c r="L20" s="949"/>
      <c r="M20" s="949"/>
      <c r="N20" s="981">
        <v>1.02</v>
      </c>
      <c r="O20" s="951">
        <f t="shared" si="15"/>
        <v>0</v>
      </c>
      <c r="P20" s="951">
        <f t="shared" si="15"/>
        <v>0</v>
      </c>
      <c r="Q20" s="973">
        <f t="shared" si="15"/>
        <v>1</v>
      </c>
      <c r="R20" s="951">
        <f t="shared" si="16"/>
        <v>1</v>
      </c>
      <c r="S20" s="953" t="s">
        <v>2141</v>
      </c>
      <c r="T20" s="974">
        <v>45107</v>
      </c>
      <c r="U20" s="984" t="s">
        <v>2115</v>
      </c>
      <c r="V20" s="985"/>
      <c r="W20" s="952" t="s">
        <v>2116</v>
      </c>
      <c r="X20" s="952">
        <v>257</v>
      </c>
      <c r="Y20" s="949">
        <f t="shared" si="17"/>
        <v>2.1</v>
      </c>
      <c r="Z20" s="956">
        <f t="shared" si="18"/>
        <v>2.1</v>
      </c>
      <c r="AA20" s="957">
        <f t="shared" ref="AA20" si="27">IF(Z20/Y20&gt;=100%,100%,Z20/Y20)</f>
        <v>1</v>
      </c>
      <c r="AB20" s="951">
        <v>0.15</v>
      </c>
      <c r="AC20" s="951">
        <v>0</v>
      </c>
      <c r="AD20" s="951">
        <v>0.22</v>
      </c>
      <c r="AE20" s="978">
        <v>0.23</v>
      </c>
      <c r="AF20" s="951">
        <v>0.125</v>
      </c>
      <c r="AG20" s="987">
        <v>700000000</v>
      </c>
      <c r="AH20" s="958">
        <v>0</v>
      </c>
      <c r="AI20" s="958">
        <v>16893925</v>
      </c>
      <c r="AJ20" s="958">
        <v>559570543</v>
      </c>
      <c r="AK20" s="958">
        <v>700000000</v>
      </c>
      <c r="AL20" s="959">
        <f t="shared" si="20"/>
        <v>1</v>
      </c>
      <c r="AM20" s="958">
        <v>0</v>
      </c>
      <c r="AN20" s="958">
        <v>16533074</v>
      </c>
      <c r="AO20" s="958">
        <v>442650348</v>
      </c>
      <c r="AP20" s="958">
        <v>700000000</v>
      </c>
      <c r="AQ20" s="971">
        <f t="shared" si="21"/>
        <v>1</v>
      </c>
      <c r="AR20" s="958">
        <f>+AJ20-AO20</f>
        <v>116920195</v>
      </c>
      <c r="AS20" s="961">
        <v>0</v>
      </c>
      <c r="AT20" s="961">
        <v>0</v>
      </c>
      <c r="AU20" s="961">
        <v>360851</v>
      </c>
      <c r="AV20" s="961">
        <v>268707</v>
      </c>
      <c r="AW20" s="961">
        <v>116920195</v>
      </c>
      <c r="AX20" s="961">
        <v>116352758</v>
      </c>
      <c r="AY20" s="963">
        <f t="shared" si="7"/>
        <v>0</v>
      </c>
      <c r="AZ20" s="964">
        <v>1290000000</v>
      </c>
      <c r="BA20" s="965">
        <f t="shared" si="22"/>
        <v>1276464468</v>
      </c>
      <c r="BB20" s="966">
        <f t="shared" si="9"/>
        <v>0.98950733953488368</v>
      </c>
      <c r="BC20" s="972">
        <f t="shared" si="23"/>
        <v>1275804887</v>
      </c>
      <c r="BD20" s="966">
        <f t="shared" si="24"/>
        <v>0.98899603643410849</v>
      </c>
      <c r="BE20" s="968"/>
      <c r="BF20" s="969"/>
      <c r="BG20" s="953" t="s">
        <v>1703</v>
      </c>
      <c r="BH20" s="970" t="s">
        <v>2109</v>
      </c>
    </row>
    <row r="21" spans="1:61" s="908" customFormat="1" ht="47.4" customHeight="1">
      <c r="A21" s="947" t="s">
        <v>2142</v>
      </c>
      <c r="B21" s="979" t="s">
        <v>2143</v>
      </c>
      <c r="C21" s="980" t="s">
        <v>2108</v>
      </c>
      <c r="D21" s="949">
        <v>1</v>
      </c>
      <c r="E21" s="949">
        <v>2</v>
      </c>
      <c r="F21" s="949">
        <v>2</v>
      </c>
      <c r="G21" s="949">
        <v>2</v>
      </c>
      <c r="H21" s="949">
        <v>1</v>
      </c>
      <c r="I21" s="949">
        <v>2</v>
      </c>
      <c r="J21" s="949">
        <v>2</v>
      </c>
      <c r="K21" s="981">
        <v>2</v>
      </c>
      <c r="L21" s="949"/>
      <c r="M21" s="951"/>
      <c r="N21" s="949"/>
      <c r="O21" s="951">
        <f t="shared" si="15"/>
        <v>1</v>
      </c>
      <c r="P21" s="951">
        <f t="shared" si="15"/>
        <v>1</v>
      </c>
      <c r="Q21" s="973">
        <f t="shared" si="15"/>
        <v>1</v>
      </c>
      <c r="R21" s="951">
        <f t="shared" si="16"/>
        <v>1</v>
      </c>
      <c r="S21" s="988" t="s">
        <v>2144</v>
      </c>
      <c r="T21" s="974">
        <v>45107</v>
      </c>
      <c r="U21" s="984" t="s">
        <v>2115</v>
      </c>
      <c r="V21" s="985"/>
      <c r="W21" s="952" t="s">
        <v>2116</v>
      </c>
      <c r="X21" s="952" t="s">
        <v>2145</v>
      </c>
      <c r="Y21" s="949">
        <f t="shared" si="17"/>
        <v>7</v>
      </c>
      <c r="Z21" s="956">
        <f t="shared" si="18"/>
        <v>7</v>
      </c>
      <c r="AA21" s="957">
        <f>IF(Z21/Y21&gt;=100%,100%,Z21/Y21)</f>
        <v>1</v>
      </c>
      <c r="AB21" s="951">
        <v>0.08</v>
      </c>
      <c r="AC21" s="951">
        <v>0.13</v>
      </c>
      <c r="AD21" s="951">
        <v>0.12</v>
      </c>
      <c r="AE21" s="978">
        <v>0.16</v>
      </c>
      <c r="AF21" s="951">
        <v>0.125</v>
      </c>
      <c r="AG21" s="958">
        <v>157000000</v>
      </c>
      <c r="AH21" s="958">
        <v>35000000</v>
      </c>
      <c r="AI21" s="958">
        <v>167826809</v>
      </c>
      <c r="AJ21" s="958">
        <v>169741138</v>
      </c>
      <c r="AK21" s="958">
        <v>157000000</v>
      </c>
      <c r="AL21" s="959">
        <f t="shared" si="20"/>
        <v>1</v>
      </c>
      <c r="AM21" s="958">
        <v>35000000</v>
      </c>
      <c r="AN21" s="958">
        <v>62895003</v>
      </c>
      <c r="AO21" s="958">
        <v>164090403</v>
      </c>
      <c r="AP21" s="958">
        <v>128723220</v>
      </c>
      <c r="AQ21" s="971">
        <f t="shared" si="21"/>
        <v>0.81989312101910827</v>
      </c>
      <c r="AR21" s="958">
        <f t="shared" si="14"/>
        <v>5650735</v>
      </c>
      <c r="AS21" s="961">
        <v>0</v>
      </c>
      <c r="AT21" s="961">
        <v>0</v>
      </c>
      <c r="AU21" s="961">
        <v>104931806</v>
      </c>
      <c r="AV21" s="961">
        <v>102838293</v>
      </c>
      <c r="AW21" s="961">
        <v>5650735</v>
      </c>
      <c r="AX21" s="961">
        <v>5482909</v>
      </c>
      <c r="AY21" s="963">
        <f t="shared" si="7"/>
        <v>0</v>
      </c>
      <c r="AZ21" s="964">
        <v>650000000</v>
      </c>
      <c r="BA21" s="965">
        <f t="shared" si="22"/>
        <v>529567947</v>
      </c>
      <c r="BB21" s="966">
        <f t="shared" si="9"/>
        <v>0.81471991846153846</v>
      </c>
      <c r="BC21" s="972">
        <f t="shared" si="23"/>
        <v>499029828</v>
      </c>
      <c r="BD21" s="966">
        <f t="shared" si="24"/>
        <v>0.76773819692307688</v>
      </c>
      <c r="BE21" s="968"/>
      <c r="BF21" s="969"/>
      <c r="BG21" s="953" t="s">
        <v>1703</v>
      </c>
      <c r="BH21" s="970" t="s">
        <v>2109</v>
      </c>
    </row>
    <row r="22" spans="1:61" s="908" customFormat="1" ht="47.4" customHeight="1">
      <c r="A22" s="936" t="s">
        <v>2146</v>
      </c>
      <c r="B22" s="937"/>
      <c r="C22" s="937"/>
      <c r="D22" s="938"/>
      <c r="E22" s="938"/>
      <c r="F22" s="938"/>
      <c r="G22" s="938"/>
      <c r="H22" s="938"/>
      <c r="I22" s="938"/>
      <c r="J22" s="938"/>
      <c r="K22" s="938"/>
      <c r="L22" s="938"/>
      <c r="M22" s="938"/>
      <c r="N22" s="938"/>
      <c r="O22" s="939">
        <f>+SUMPRODUCT(O23:O24,AC23:AC24)</f>
        <v>1</v>
      </c>
      <c r="P22" s="939">
        <f t="shared" ref="P22:R22" si="28">+SUMPRODUCT(P23:P24,AD23:AD24)</f>
        <v>1</v>
      </c>
      <c r="Q22" s="939">
        <f t="shared" si="28"/>
        <v>1</v>
      </c>
      <c r="R22" s="939">
        <f t="shared" si="28"/>
        <v>1</v>
      </c>
      <c r="S22" s="937"/>
      <c r="T22" s="937"/>
      <c r="U22" s="937"/>
      <c r="V22" s="937"/>
      <c r="W22" s="937"/>
      <c r="X22" s="937"/>
      <c r="Y22" s="940"/>
      <c r="Z22" s="940"/>
      <c r="AA22" s="941">
        <f>+SUMPRODUCT(AA23:AA24,AB23:AB24)</f>
        <v>1</v>
      </c>
      <c r="AB22" s="939">
        <v>0.1</v>
      </c>
      <c r="AC22" s="939">
        <v>0.1</v>
      </c>
      <c r="AD22" s="939">
        <v>0.1</v>
      </c>
      <c r="AE22" s="939">
        <v>0.1</v>
      </c>
      <c r="AF22" s="939">
        <v>0.1</v>
      </c>
      <c r="AG22" s="937">
        <f>+SUM(AG23:AG24)</f>
        <v>550000000</v>
      </c>
      <c r="AH22" s="937">
        <f>SUM(AH23:AH24)</f>
        <v>191150000</v>
      </c>
      <c r="AI22" s="937">
        <f>SUM(AI23:AI24)</f>
        <v>567479073</v>
      </c>
      <c r="AJ22" s="937">
        <f>SUM(AJ23:AJ24)</f>
        <v>549542227</v>
      </c>
      <c r="AK22" s="937">
        <f>SUM(AK23:AK24)</f>
        <v>525950195</v>
      </c>
      <c r="AL22" s="943">
        <f t="shared" si="20"/>
        <v>0.95627308181818182</v>
      </c>
      <c r="AM22" s="937">
        <f>SUM(AM23:AM24)</f>
        <v>158650000</v>
      </c>
      <c r="AN22" s="937">
        <f>SUM(AN23:AN24)</f>
        <v>523178398</v>
      </c>
      <c r="AO22" s="937">
        <f>SUM(AO23:AO24)</f>
        <v>500440377</v>
      </c>
      <c r="AP22" s="937">
        <f>SUM(AP23:AP24)</f>
        <v>520620976</v>
      </c>
      <c r="AQ22" s="944">
        <f t="shared" si="21"/>
        <v>0.94658359272727277</v>
      </c>
      <c r="AR22" s="945">
        <f t="shared" ref="AR22:AX22" si="29">SUM(AR23:AR24)</f>
        <v>49101850</v>
      </c>
      <c r="AS22" s="989">
        <f t="shared" si="29"/>
        <v>32500000</v>
      </c>
      <c r="AT22" s="989">
        <f t="shared" si="29"/>
        <v>32500000</v>
      </c>
      <c r="AU22" s="989">
        <f t="shared" si="29"/>
        <v>44300675</v>
      </c>
      <c r="AV22" s="989">
        <f t="shared" si="29"/>
        <v>40318115</v>
      </c>
      <c r="AW22" s="989">
        <f t="shared" si="29"/>
        <v>49101850</v>
      </c>
      <c r="AX22" s="989">
        <f t="shared" si="29"/>
        <v>48743415</v>
      </c>
      <c r="AY22" s="990">
        <f t="shared" si="7"/>
        <v>2.3696206558408694</v>
      </c>
      <c r="AZ22" s="989">
        <f>SUM(AZ23:AZ24)</f>
        <v>2000000000</v>
      </c>
      <c r="BA22" s="989">
        <f t="shared" si="22"/>
        <v>1834121495</v>
      </c>
      <c r="BB22" s="991">
        <f t="shared" si="9"/>
        <v>0.9170607475</v>
      </c>
      <c r="BC22" s="992">
        <f t="shared" si="23"/>
        <v>1824451281</v>
      </c>
      <c r="BD22" s="991">
        <f t="shared" si="24"/>
        <v>0.91222564049999999</v>
      </c>
      <c r="BE22" s="993"/>
      <c r="BF22" s="945"/>
      <c r="BG22" s="945"/>
      <c r="BH22" s="945"/>
    </row>
    <row r="23" spans="1:61" s="908" customFormat="1" ht="47.4" customHeight="1">
      <c r="A23" s="994" t="s">
        <v>2147</v>
      </c>
      <c r="B23" s="995" t="s">
        <v>2148</v>
      </c>
      <c r="C23" s="980" t="s">
        <v>2108</v>
      </c>
      <c r="D23" s="949">
        <v>1</v>
      </c>
      <c r="E23" s="949">
        <v>1</v>
      </c>
      <c r="F23" s="949">
        <v>1</v>
      </c>
      <c r="G23" s="949">
        <v>1</v>
      </c>
      <c r="H23" s="949">
        <v>1</v>
      </c>
      <c r="I23" s="949">
        <v>1</v>
      </c>
      <c r="J23" s="949">
        <v>1</v>
      </c>
      <c r="K23" s="949">
        <v>1</v>
      </c>
      <c r="L23" s="949"/>
      <c r="M23" s="949"/>
      <c r="N23" s="949"/>
      <c r="O23" s="951">
        <f t="shared" ref="O23:Q24" si="30">+IFERROR(IF((H23+L23)/D23&gt;=100%,100%,(H23+L23)/D23),0)</f>
        <v>1</v>
      </c>
      <c r="P23" s="957">
        <f t="shared" si="30"/>
        <v>1</v>
      </c>
      <c r="Q23" s="973">
        <f t="shared" si="30"/>
        <v>1</v>
      </c>
      <c r="R23" s="951">
        <f t="shared" ref="R23:R24" si="31">+IFERROR(IF(K23/G23&gt;=100%,100%,K23/G23),0)</f>
        <v>1</v>
      </c>
      <c r="S23" s="953" t="s">
        <v>2149</v>
      </c>
      <c r="T23" s="974">
        <v>45107</v>
      </c>
      <c r="U23" s="912"/>
      <c r="V23" s="912"/>
      <c r="W23" s="953"/>
      <c r="X23" s="912"/>
      <c r="Y23" s="949">
        <f t="shared" ref="Y23:Y24" si="32">SUM(D23:G23)</f>
        <v>4</v>
      </c>
      <c r="Z23" s="956">
        <f t="shared" ref="Z23:Z24" si="33">SUM(H23:N23)</f>
        <v>4</v>
      </c>
      <c r="AA23" s="957">
        <f>IF(Z23/Y23&gt;=100%,100%,Z23/Y23)</f>
        <v>1</v>
      </c>
      <c r="AB23" s="996">
        <v>0.5</v>
      </c>
      <c r="AC23" s="996">
        <v>0.5</v>
      </c>
      <c r="AD23" s="996">
        <v>0.5</v>
      </c>
      <c r="AE23" s="996">
        <v>0.5</v>
      </c>
      <c r="AF23" s="996">
        <v>0.5</v>
      </c>
      <c r="AG23" s="997">
        <v>400000000</v>
      </c>
      <c r="AH23" s="958">
        <v>151150000</v>
      </c>
      <c r="AI23" s="958">
        <v>370950000</v>
      </c>
      <c r="AJ23" s="958">
        <v>489109181</v>
      </c>
      <c r="AK23" s="958">
        <v>400000000</v>
      </c>
      <c r="AL23" s="959">
        <f t="shared" si="20"/>
        <v>1</v>
      </c>
      <c r="AM23" s="958">
        <v>138650000</v>
      </c>
      <c r="AN23" s="998">
        <v>368950000</v>
      </c>
      <c r="AO23" s="998">
        <v>476709597</v>
      </c>
      <c r="AP23" s="958">
        <v>399713004</v>
      </c>
      <c r="AQ23" s="971">
        <f t="shared" si="21"/>
        <v>0.99928251000000001</v>
      </c>
      <c r="AR23" s="958">
        <f t="shared" si="14"/>
        <v>12399584</v>
      </c>
      <c r="AS23" s="958">
        <v>12500000</v>
      </c>
      <c r="AT23" s="958">
        <v>12500000</v>
      </c>
      <c r="AU23" s="958">
        <v>2000000</v>
      </c>
      <c r="AV23" s="958">
        <v>2000000</v>
      </c>
      <c r="AW23" s="958">
        <v>12399584</v>
      </c>
      <c r="AX23" s="958">
        <v>12195578</v>
      </c>
      <c r="AY23" s="999">
        <f t="shared" si="7"/>
        <v>0.44218491523586601</v>
      </c>
      <c r="AZ23" s="964">
        <v>1489400000</v>
      </c>
      <c r="BA23" s="1000">
        <f t="shared" si="22"/>
        <v>1411209181</v>
      </c>
      <c r="BB23" s="951">
        <f t="shared" si="9"/>
        <v>0.94750180005371287</v>
      </c>
      <c r="BC23" s="1001">
        <f t="shared" si="23"/>
        <v>1410718179</v>
      </c>
      <c r="BD23" s="951">
        <f t="shared" si="24"/>
        <v>0.94717213575936621</v>
      </c>
      <c r="BE23" s="969"/>
      <c r="BF23" s="969"/>
      <c r="BG23" s="953" t="s">
        <v>1703</v>
      </c>
      <c r="BH23" s="1381" t="s">
        <v>2150</v>
      </c>
    </row>
    <row r="24" spans="1:61" s="908" customFormat="1" ht="47.4" customHeight="1">
      <c r="A24" s="994" t="s">
        <v>1831</v>
      </c>
      <c r="B24" s="948" t="s">
        <v>2151</v>
      </c>
      <c r="C24" s="980" t="s">
        <v>2108</v>
      </c>
      <c r="D24" s="949">
        <v>3</v>
      </c>
      <c r="E24" s="949">
        <v>3</v>
      </c>
      <c r="F24" s="949">
        <v>3</v>
      </c>
      <c r="G24" s="949">
        <v>3</v>
      </c>
      <c r="H24" s="949">
        <v>3</v>
      </c>
      <c r="I24" s="949">
        <v>3</v>
      </c>
      <c r="J24" s="949">
        <v>3</v>
      </c>
      <c r="K24" s="949">
        <v>3</v>
      </c>
      <c r="L24" s="949"/>
      <c r="M24" s="949"/>
      <c r="N24" s="949"/>
      <c r="O24" s="951">
        <f t="shared" si="30"/>
        <v>1</v>
      </c>
      <c r="P24" s="957">
        <f t="shared" si="30"/>
        <v>1</v>
      </c>
      <c r="Q24" s="973">
        <f t="shared" si="30"/>
        <v>1</v>
      </c>
      <c r="R24" s="951">
        <f t="shared" si="31"/>
        <v>1</v>
      </c>
      <c r="S24" s="953" t="s">
        <v>2152</v>
      </c>
      <c r="T24" s="974">
        <v>45107</v>
      </c>
      <c r="U24" s="912" t="s">
        <v>2153</v>
      </c>
      <c r="V24" s="953" t="s">
        <v>2154</v>
      </c>
      <c r="W24" s="953"/>
      <c r="X24" s="953"/>
      <c r="Y24" s="949">
        <f t="shared" si="32"/>
        <v>12</v>
      </c>
      <c r="Z24" s="956">
        <f t="shared" si="33"/>
        <v>12</v>
      </c>
      <c r="AA24" s="957">
        <f>IF(Z24/Y24&gt;=100%,100%,Z24/Y24)</f>
        <v>1</v>
      </c>
      <c r="AB24" s="996">
        <v>0.5</v>
      </c>
      <c r="AC24" s="996">
        <v>0.5</v>
      </c>
      <c r="AD24" s="996">
        <v>0.5</v>
      </c>
      <c r="AE24" s="996">
        <v>0.5</v>
      </c>
      <c r="AF24" s="996">
        <v>0.5</v>
      </c>
      <c r="AG24" s="997">
        <v>150000000</v>
      </c>
      <c r="AH24" s="958">
        <v>40000000</v>
      </c>
      <c r="AI24" s="958">
        <v>196529073</v>
      </c>
      <c r="AJ24" s="958">
        <v>60433046</v>
      </c>
      <c r="AK24" s="958">
        <v>125950195</v>
      </c>
      <c r="AL24" s="959">
        <f t="shared" si="20"/>
        <v>0.83966796666666665</v>
      </c>
      <c r="AM24" s="958">
        <v>20000000</v>
      </c>
      <c r="AN24" s="998">
        <v>154228398</v>
      </c>
      <c r="AO24" s="998">
        <v>23730780</v>
      </c>
      <c r="AP24" s="958">
        <v>120907972</v>
      </c>
      <c r="AQ24" s="971">
        <f t="shared" si="21"/>
        <v>0.80605314666666672</v>
      </c>
      <c r="AR24" s="958">
        <f>+AJ24-AO24</f>
        <v>36702266</v>
      </c>
      <c r="AS24" s="958">
        <v>20000000</v>
      </c>
      <c r="AT24" s="958">
        <v>20000000</v>
      </c>
      <c r="AU24" s="958">
        <v>42300675</v>
      </c>
      <c r="AV24" s="958">
        <v>38318115</v>
      </c>
      <c r="AW24" s="958">
        <v>36702266</v>
      </c>
      <c r="AX24" s="958">
        <v>36547837</v>
      </c>
      <c r="AY24" s="999">
        <f t="shared" si="7"/>
        <v>1.3280764462880847</v>
      </c>
      <c r="AZ24" s="964">
        <v>510600000</v>
      </c>
      <c r="BA24" s="1000">
        <f t="shared" si="22"/>
        <v>422912314</v>
      </c>
      <c r="BB24" s="951">
        <f t="shared" si="9"/>
        <v>0.82826540148844496</v>
      </c>
      <c r="BC24" s="1001">
        <f t="shared" si="23"/>
        <v>413733102</v>
      </c>
      <c r="BD24" s="951">
        <f t="shared" si="24"/>
        <v>0.81028809635722676</v>
      </c>
      <c r="BE24" s="969"/>
      <c r="BF24" s="969"/>
      <c r="BG24" s="953" t="s">
        <v>219</v>
      </c>
      <c r="BH24" s="1370"/>
    </row>
    <row r="25" spans="1:61" s="908" customFormat="1" ht="47.4" customHeight="1">
      <c r="A25" s="936" t="s">
        <v>2155</v>
      </c>
      <c r="B25" s="937"/>
      <c r="C25" s="937"/>
      <c r="D25" s="938"/>
      <c r="E25" s="938"/>
      <c r="F25" s="938"/>
      <c r="G25" s="938"/>
      <c r="H25" s="938"/>
      <c r="I25" s="938"/>
      <c r="J25" s="938"/>
      <c r="K25" s="938"/>
      <c r="L25" s="938"/>
      <c r="M25" s="938"/>
      <c r="N25" s="938"/>
      <c r="O25" s="939">
        <f>+SUMPRODUCT(O26:O30,AC26:AC30)</f>
        <v>0.99999999999999989</v>
      </c>
      <c r="P25" s="939">
        <f t="shared" ref="P25:R25" si="34">+SUMPRODUCT(P26:P30,AD26:AD30)</f>
        <v>0.99999999999999989</v>
      </c>
      <c r="Q25" s="939">
        <f t="shared" si="34"/>
        <v>0.99999999999999989</v>
      </c>
      <c r="R25" s="939">
        <f t="shared" si="34"/>
        <v>0.99999999999999989</v>
      </c>
      <c r="S25" s="937"/>
      <c r="T25" s="937"/>
      <c r="U25" s="937"/>
      <c r="V25" s="937"/>
      <c r="W25" s="937"/>
      <c r="X25" s="937"/>
      <c r="Y25" s="940"/>
      <c r="Z25" s="940"/>
      <c r="AA25" s="1003">
        <f>+SUMPRODUCT(AA26:AA30,AB26:AB30)</f>
        <v>0.99999999999999989</v>
      </c>
      <c r="AB25" s="939">
        <v>0.7</v>
      </c>
      <c r="AC25" s="939">
        <v>0.7</v>
      </c>
      <c r="AD25" s="939">
        <v>0.7</v>
      </c>
      <c r="AE25" s="939">
        <v>0.7</v>
      </c>
      <c r="AF25" s="939">
        <v>0.7</v>
      </c>
      <c r="AG25" s="937">
        <f>+SUM(AG26:AG30)</f>
        <v>21054138531</v>
      </c>
      <c r="AH25" s="942">
        <f>SUM(AH26:AH30)</f>
        <v>4965508956.4099998</v>
      </c>
      <c r="AI25" s="937">
        <f>SUM(AI26:AI30)</f>
        <v>15640803833.17</v>
      </c>
      <c r="AJ25" s="937">
        <f>SUM(AJ26:AJ30)</f>
        <v>46457945296.839996</v>
      </c>
      <c r="AK25" s="937">
        <f>+SUM(AK26:AK30)</f>
        <v>21054106070.5</v>
      </c>
      <c r="AL25" s="943">
        <f t="shared" si="20"/>
        <v>0.99999845823660982</v>
      </c>
      <c r="AM25" s="942">
        <f>SUM(AM26:AM30)</f>
        <v>503578321</v>
      </c>
      <c r="AN25" s="1004">
        <f>SUM(AN26:AN30)</f>
        <v>14494966360.110001</v>
      </c>
      <c r="AO25" s="1004">
        <f>SUM(AO26:AO30)</f>
        <v>33484519510.84</v>
      </c>
      <c r="AP25" s="937">
        <f>+SUM(AP26:AP30)</f>
        <v>16727451170.799999</v>
      </c>
      <c r="AQ25" s="944">
        <f t="shared" si="21"/>
        <v>0.79449706033664547</v>
      </c>
      <c r="AR25" s="945">
        <f t="shared" ref="AR25:AX25" si="35">SUM(AR26:AR30)</f>
        <v>12973425785.999996</v>
      </c>
      <c r="AS25" s="942">
        <f t="shared" si="35"/>
        <v>4461930635.4099998</v>
      </c>
      <c r="AT25" s="937">
        <f t="shared" si="35"/>
        <v>3692130700.3299999</v>
      </c>
      <c r="AU25" s="937">
        <f t="shared" si="35"/>
        <v>1145837473.0599999</v>
      </c>
      <c r="AV25" s="937">
        <f t="shared" si="35"/>
        <v>937752831.84000003</v>
      </c>
      <c r="AW25" s="937">
        <f t="shared" si="35"/>
        <v>12973425786</v>
      </c>
      <c r="AX25" s="937">
        <f t="shared" si="35"/>
        <v>12967856450</v>
      </c>
      <c r="AY25" s="946">
        <f t="shared" si="7"/>
        <v>9.4004299258878881E-4</v>
      </c>
      <c r="AZ25" s="989">
        <f>SUM(AZ26:AZ30)</f>
        <v>126626611548</v>
      </c>
      <c r="BA25" s="937">
        <f t="shared" si="22"/>
        <v>88118364156.919998</v>
      </c>
      <c r="BB25" s="939">
        <f t="shared" si="9"/>
        <v>0.69589135395538249</v>
      </c>
      <c r="BC25" s="1005">
        <f t="shared" si="23"/>
        <v>82808255344.919998</v>
      </c>
      <c r="BD25" s="939">
        <f t="shared" si="24"/>
        <v>0.65395618134763167</v>
      </c>
      <c r="BE25" s="945"/>
      <c r="BF25" s="945"/>
      <c r="BG25" s="945"/>
      <c r="BH25" s="945"/>
    </row>
    <row r="26" spans="1:61" s="908" customFormat="1" ht="47.4" customHeight="1">
      <c r="A26" s="947" t="s">
        <v>2156</v>
      </c>
      <c r="B26" s="979" t="s">
        <v>2157</v>
      </c>
      <c r="C26" s="980" t="s">
        <v>2108</v>
      </c>
      <c r="D26" s="949">
        <v>1</v>
      </c>
      <c r="E26" s="949">
        <v>1</v>
      </c>
      <c r="F26" s="949">
        <v>1</v>
      </c>
      <c r="G26" s="949">
        <v>1</v>
      </c>
      <c r="H26" s="949">
        <v>0</v>
      </c>
      <c r="I26" s="949">
        <v>0</v>
      </c>
      <c r="J26" s="949">
        <v>1</v>
      </c>
      <c r="K26" s="981">
        <v>1</v>
      </c>
      <c r="L26" s="949">
        <v>1</v>
      </c>
      <c r="M26" s="949">
        <v>1</v>
      </c>
      <c r="N26" s="949"/>
      <c r="O26" s="951">
        <f t="shared" ref="O26:Q30" si="36">+IFERROR(IF((H26+L26)/D26&gt;=100%,100%,(H26+L26)/D26),0)</f>
        <v>1</v>
      </c>
      <c r="P26" s="957">
        <f t="shared" si="36"/>
        <v>1</v>
      </c>
      <c r="Q26" s="973">
        <f t="shared" si="36"/>
        <v>1</v>
      </c>
      <c r="R26" s="951">
        <f t="shared" ref="R26:R30" si="37">+IFERROR(IF(K26/G26&gt;=100%,100%,K26/G26),0)</f>
        <v>1</v>
      </c>
      <c r="S26" s="953" t="s">
        <v>2158</v>
      </c>
      <c r="T26" s="974">
        <v>45107</v>
      </c>
      <c r="U26" s="912" t="s">
        <v>2115</v>
      </c>
      <c r="V26" s="912"/>
      <c r="W26" s="953" t="s">
        <v>2116</v>
      </c>
      <c r="X26" s="953" t="s">
        <v>2159</v>
      </c>
      <c r="Y26" s="949">
        <f t="shared" ref="Y26:Y30" si="38">SUM(D26:G26)</f>
        <v>4</v>
      </c>
      <c r="Z26" s="956">
        <f t="shared" ref="Z26:Z30" si="39">SUM(H26:N26)</f>
        <v>4</v>
      </c>
      <c r="AA26" s="957">
        <f t="shared" ref="AA26:AA35" si="40">IF(Z26/Y26&gt;=100%,100%,Z26/Y26)</f>
        <v>1</v>
      </c>
      <c r="AB26" s="996">
        <v>0.1</v>
      </c>
      <c r="AC26" s="996">
        <v>0.1</v>
      </c>
      <c r="AD26" s="996">
        <v>0.1</v>
      </c>
      <c r="AE26" s="996">
        <v>0.1</v>
      </c>
      <c r="AF26" s="996">
        <v>0.1</v>
      </c>
      <c r="AG26" s="958">
        <v>423105792</v>
      </c>
      <c r="AH26" s="1006">
        <v>399801255.61000001</v>
      </c>
      <c r="AI26" s="1006">
        <v>242056750.25999999</v>
      </c>
      <c r="AJ26" s="1006">
        <v>360796121</v>
      </c>
      <c r="AK26" s="1006">
        <v>423105790.39999998</v>
      </c>
      <c r="AL26" s="959">
        <f t="shared" si="20"/>
        <v>0.99999999621843982</v>
      </c>
      <c r="AM26" s="1006">
        <v>13000000</v>
      </c>
      <c r="AN26" s="1006">
        <v>55048034</v>
      </c>
      <c r="AO26" s="1006">
        <v>330425585</v>
      </c>
      <c r="AP26" s="1006">
        <v>421005790.39999998</v>
      </c>
      <c r="AQ26" s="971">
        <f t="shared" si="21"/>
        <v>0.99503669852857979</v>
      </c>
      <c r="AR26" s="958">
        <f t="shared" ref="AR26:AR30" si="41">+AJ26-AO26</f>
        <v>30370536</v>
      </c>
      <c r="AS26" s="1006">
        <v>386801255.61000001</v>
      </c>
      <c r="AT26" s="1006">
        <v>386801255</v>
      </c>
      <c r="AU26" s="1006">
        <v>187008716.25999999</v>
      </c>
      <c r="AV26" s="1006">
        <v>133453604.84</v>
      </c>
      <c r="AW26" s="1006">
        <v>30370536</v>
      </c>
      <c r="AX26" s="1006">
        <v>29086652</v>
      </c>
      <c r="AY26" s="999">
        <f t="shared" si="7"/>
        <v>1.2033978261035629</v>
      </c>
      <c r="AZ26" s="964">
        <v>1397000000</v>
      </c>
      <c r="BA26" s="1000">
        <f t="shared" si="22"/>
        <v>1425759917.27</v>
      </c>
      <c r="BB26" s="951">
        <f t="shared" si="9"/>
        <v>1.0205869128632785</v>
      </c>
      <c r="BC26" s="1001">
        <f t="shared" si="23"/>
        <v>1368820921.24</v>
      </c>
      <c r="BD26" s="951">
        <f t="shared" si="24"/>
        <v>0.97982886273443093</v>
      </c>
      <c r="BE26" s="969"/>
      <c r="BF26" s="969"/>
      <c r="BG26" s="953" t="s">
        <v>1703</v>
      </c>
      <c r="BH26" s="1382" t="s">
        <v>2160</v>
      </c>
    </row>
    <row r="27" spans="1:61" s="908" customFormat="1" ht="47.4" customHeight="1">
      <c r="A27" s="947" t="s">
        <v>2161</v>
      </c>
      <c r="B27" s="979" t="s">
        <v>2162</v>
      </c>
      <c r="C27" s="980" t="s">
        <v>2108</v>
      </c>
      <c r="D27" s="949">
        <v>1</v>
      </c>
      <c r="E27" s="949">
        <v>1</v>
      </c>
      <c r="F27" s="949">
        <v>1</v>
      </c>
      <c r="G27" s="949">
        <v>1</v>
      </c>
      <c r="H27" s="949">
        <v>1</v>
      </c>
      <c r="I27" s="949">
        <v>1</v>
      </c>
      <c r="J27" s="982">
        <v>1</v>
      </c>
      <c r="K27" s="982">
        <v>1</v>
      </c>
      <c r="L27" s="949"/>
      <c r="M27" s="949"/>
      <c r="N27" s="949"/>
      <c r="O27" s="951">
        <f t="shared" si="36"/>
        <v>1</v>
      </c>
      <c r="P27" s="957">
        <f t="shared" si="36"/>
        <v>1</v>
      </c>
      <c r="Q27" s="973">
        <f t="shared" si="36"/>
        <v>1</v>
      </c>
      <c r="R27" s="951">
        <f t="shared" si="37"/>
        <v>1</v>
      </c>
      <c r="S27" s="952" t="s">
        <v>2163</v>
      </c>
      <c r="T27" s="974">
        <v>45107</v>
      </c>
      <c r="U27" s="912" t="s">
        <v>2115</v>
      </c>
      <c r="V27" s="912"/>
      <c r="W27" s="953" t="s">
        <v>2116</v>
      </c>
      <c r="X27" s="912">
        <v>261</v>
      </c>
      <c r="Y27" s="949">
        <f t="shared" si="38"/>
        <v>4</v>
      </c>
      <c r="Z27" s="956">
        <f t="shared" si="39"/>
        <v>4</v>
      </c>
      <c r="AA27" s="957">
        <f t="shared" si="40"/>
        <v>1</v>
      </c>
      <c r="AB27" s="996">
        <v>0.4</v>
      </c>
      <c r="AC27" s="996">
        <v>0.4</v>
      </c>
      <c r="AD27" s="996">
        <v>0.4</v>
      </c>
      <c r="AE27" s="996">
        <v>0.4</v>
      </c>
      <c r="AF27" s="996">
        <v>0.4</v>
      </c>
      <c r="AG27" s="958">
        <v>12195214490</v>
      </c>
      <c r="AH27" s="1006">
        <v>149750000</v>
      </c>
      <c r="AI27" s="1006">
        <v>11776505702.950001</v>
      </c>
      <c r="AJ27" s="1006">
        <v>35196179335.839996</v>
      </c>
      <c r="AK27" s="1006">
        <v>12195214449.200001</v>
      </c>
      <c r="AL27" s="959">
        <f t="shared" si="20"/>
        <v>0.9999999966544254</v>
      </c>
      <c r="AM27" s="1006">
        <v>28000000</v>
      </c>
      <c r="AN27" s="1006">
        <v>11545338771.700001</v>
      </c>
      <c r="AO27" s="1006">
        <v>29249454735.84</v>
      </c>
      <c r="AP27" s="1006">
        <v>9824221281.2000008</v>
      </c>
      <c r="AQ27" s="971">
        <f t="shared" si="21"/>
        <v>0.80558003217211149</v>
      </c>
      <c r="AR27" s="958">
        <f t="shared" si="41"/>
        <v>5946724599.9999962</v>
      </c>
      <c r="AS27" s="1006">
        <v>121750000</v>
      </c>
      <c r="AT27" s="1006">
        <v>121750000</v>
      </c>
      <c r="AU27" s="1006">
        <v>231166931.25</v>
      </c>
      <c r="AV27" s="1006">
        <v>230358446</v>
      </c>
      <c r="AW27" s="1006">
        <v>5946724600</v>
      </c>
      <c r="AX27" s="1006">
        <v>5944852234</v>
      </c>
      <c r="AY27" s="999">
        <f t="shared" si="7"/>
        <v>2.1806721047751227</v>
      </c>
      <c r="AZ27" s="964">
        <v>97506981289</v>
      </c>
      <c r="BA27" s="1000">
        <f t="shared" si="22"/>
        <v>59317649487.98999</v>
      </c>
      <c r="BB27" s="951">
        <f t="shared" si="9"/>
        <v>0.60834258946217379</v>
      </c>
      <c r="BC27" s="1001">
        <f t="shared" si="23"/>
        <v>56943975468.740005</v>
      </c>
      <c r="BD27" s="951">
        <f t="shared" si="24"/>
        <v>0.58399895798193469</v>
      </c>
      <c r="BE27" s="969"/>
      <c r="BF27" s="969"/>
      <c r="BG27" s="953" t="s">
        <v>1703</v>
      </c>
      <c r="BH27" s="1370"/>
    </row>
    <row r="28" spans="1:61" s="908" customFormat="1" ht="47.4" customHeight="1">
      <c r="A28" s="947" t="s">
        <v>2164</v>
      </c>
      <c r="B28" s="979" t="s">
        <v>2165</v>
      </c>
      <c r="C28" s="980" t="s">
        <v>2108</v>
      </c>
      <c r="D28" s="949">
        <v>1</v>
      </c>
      <c r="E28" s="949">
        <v>1</v>
      </c>
      <c r="F28" s="949">
        <v>1</v>
      </c>
      <c r="G28" s="949">
        <v>1</v>
      </c>
      <c r="H28" s="949">
        <v>0</v>
      </c>
      <c r="I28" s="949">
        <v>1</v>
      </c>
      <c r="J28" s="982">
        <v>1</v>
      </c>
      <c r="K28" s="982">
        <v>1</v>
      </c>
      <c r="L28" s="949">
        <v>1</v>
      </c>
      <c r="M28" s="949"/>
      <c r="N28" s="949"/>
      <c r="O28" s="951">
        <f t="shared" si="36"/>
        <v>1</v>
      </c>
      <c r="P28" s="957">
        <f t="shared" si="36"/>
        <v>1</v>
      </c>
      <c r="Q28" s="973">
        <f t="shared" si="36"/>
        <v>1</v>
      </c>
      <c r="R28" s="951">
        <f t="shared" si="37"/>
        <v>1</v>
      </c>
      <c r="S28" s="952" t="s">
        <v>2163</v>
      </c>
      <c r="T28" s="974">
        <v>45107</v>
      </c>
      <c r="U28" s="912" t="s">
        <v>2115</v>
      </c>
      <c r="V28" s="912"/>
      <c r="W28" s="953" t="s">
        <v>2116</v>
      </c>
      <c r="X28" s="912">
        <v>176</v>
      </c>
      <c r="Y28" s="949">
        <f t="shared" si="38"/>
        <v>4</v>
      </c>
      <c r="Z28" s="956">
        <f t="shared" si="39"/>
        <v>4</v>
      </c>
      <c r="AA28" s="957">
        <f t="shared" si="40"/>
        <v>1</v>
      </c>
      <c r="AB28" s="996">
        <v>0.2</v>
      </c>
      <c r="AC28" s="996">
        <v>0.2</v>
      </c>
      <c r="AD28" s="996">
        <v>0.2</v>
      </c>
      <c r="AE28" s="996">
        <v>0.2</v>
      </c>
      <c r="AF28" s="996">
        <v>0.2</v>
      </c>
      <c r="AG28" s="958">
        <v>1785818249</v>
      </c>
      <c r="AH28" s="1006">
        <v>2817080389.8000002</v>
      </c>
      <c r="AI28" s="1006">
        <v>2196156222.4000001</v>
      </c>
      <c r="AJ28" s="1006">
        <v>801196031</v>
      </c>
      <c r="AK28" s="1006">
        <v>1785818249</v>
      </c>
      <c r="AL28" s="959">
        <f t="shared" si="20"/>
        <v>1</v>
      </c>
      <c r="AM28" s="1006">
        <v>426743180</v>
      </c>
      <c r="AN28" s="1006">
        <v>1748051434.4100001</v>
      </c>
      <c r="AO28" s="1006">
        <v>726805330</v>
      </c>
      <c r="AP28" s="1006">
        <v>1770617601</v>
      </c>
      <c r="AQ28" s="971">
        <f t="shared" si="21"/>
        <v>0.99148813267614899</v>
      </c>
      <c r="AR28" s="958">
        <f t="shared" si="41"/>
        <v>74390701</v>
      </c>
      <c r="AS28" s="1006">
        <v>2390337209.8000002</v>
      </c>
      <c r="AT28" s="1006">
        <v>1770537275.3299999</v>
      </c>
      <c r="AU28" s="1006">
        <v>448104787.99000001</v>
      </c>
      <c r="AV28" s="1006">
        <v>447482815</v>
      </c>
      <c r="AW28" s="1006">
        <v>74390701</v>
      </c>
      <c r="AX28" s="1006">
        <v>73640689</v>
      </c>
      <c r="AY28" s="999">
        <f t="shared" si="7"/>
        <v>0.39099849321220942</v>
      </c>
      <c r="AZ28" s="964">
        <v>7240855949</v>
      </c>
      <c r="BA28" s="1000">
        <f t="shared" si="22"/>
        <v>7600250892.2000008</v>
      </c>
      <c r="BB28" s="951">
        <f t="shared" si="9"/>
        <v>1.0496343175076746</v>
      </c>
      <c r="BC28" s="1001">
        <f t="shared" si="23"/>
        <v>6963878324.7399998</v>
      </c>
      <c r="BD28" s="951">
        <f t="shared" si="24"/>
        <v>0.96174794441280764</v>
      </c>
      <c r="BE28" s="969"/>
      <c r="BF28" s="969"/>
      <c r="BG28" s="953" t="s">
        <v>1703</v>
      </c>
      <c r="BH28" s="1370"/>
    </row>
    <row r="29" spans="1:61" s="908" customFormat="1" ht="47.4" customHeight="1">
      <c r="A29" s="947" t="s">
        <v>2166</v>
      </c>
      <c r="B29" s="979" t="s">
        <v>2167</v>
      </c>
      <c r="C29" s="980" t="s">
        <v>2108</v>
      </c>
      <c r="D29" s="949">
        <v>1</v>
      </c>
      <c r="E29" s="949">
        <v>1</v>
      </c>
      <c r="F29" s="949">
        <v>1</v>
      </c>
      <c r="G29" s="949">
        <v>1</v>
      </c>
      <c r="H29" s="949">
        <v>1</v>
      </c>
      <c r="I29" s="949">
        <v>1</v>
      </c>
      <c r="J29" s="982">
        <v>1</v>
      </c>
      <c r="K29" s="982">
        <v>1</v>
      </c>
      <c r="L29" s="949"/>
      <c r="M29" s="949"/>
      <c r="N29" s="949"/>
      <c r="O29" s="951">
        <f t="shared" si="36"/>
        <v>1</v>
      </c>
      <c r="P29" s="957">
        <f t="shared" si="36"/>
        <v>1</v>
      </c>
      <c r="Q29" s="973">
        <f t="shared" si="36"/>
        <v>1</v>
      </c>
      <c r="R29" s="951">
        <f t="shared" si="37"/>
        <v>1</v>
      </c>
      <c r="S29" s="953" t="s">
        <v>2168</v>
      </c>
      <c r="T29" s="974">
        <v>45107</v>
      </c>
      <c r="U29" s="912" t="s">
        <v>2115</v>
      </c>
      <c r="V29" s="912"/>
      <c r="W29" s="953" t="s">
        <v>2116</v>
      </c>
      <c r="X29" s="912">
        <v>267</v>
      </c>
      <c r="Y29" s="949">
        <f t="shared" si="38"/>
        <v>4</v>
      </c>
      <c r="Z29" s="956">
        <f t="shared" si="39"/>
        <v>4</v>
      </c>
      <c r="AA29" s="957">
        <f t="shared" si="40"/>
        <v>1</v>
      </c>
      <c r="AB29" s="996">
        <v>0.2</v>
      </c>
      <c r="AC29" s="996">
        <v>0.2</v>
      </c>
      <c r="AD29" s="996">
        <v>0.2</v>
      </c>
      <c r="AE29" s="996">
        <v>0.2</v>
      </c>
      <c r="AF29" s="996">
        <v>0.2</v>
      </c>
      <c r="AG29" s="958">
        <v>6350000000</v>
      </c>
      <c r="AH29" s="958">
        <v>1573877311</v>
      </c>
      <c r="AI29" s="1006">
        <v>1130744278.5599999</v>
      </c>
      <c r="AJ29" s="1006">
        <v>9777717102</v>
      </c>
      <c r="AK29" s="1006">
        <v>6349967581.8999996</v>
      </c>
      <c r="AL29" s="959">
        <f t="shared" si="20"/>
        <v>0.99999489478740156</v>
      </c>
      <c r="AM29" s="958">
        <v>20835141</v>
      </c>
      <c r="AN29" s="1006">
        <v>851728517</v>
      </c>
      <c r="AO29" s="1006">
        <v>2866821057</v>
      </c>
      <c r="AP29" s="1006">
        <v>4411606498.1999998</v>
      </c>
      <c r="AQ29" s="971">
        <f t="shared" si="21"/>
        <v>0.69474118081889757</v>
      </c>
      <c r="AR29" s="958">
        <f t="shared" si="41"/>
        <v>6910896045</v>
      </c>
      <c r="AS29" s="958">
        <v>1553042170</v>
      </c>
      <c r="AT29" s="958">
        <v>1403042170</v>
      </c>
      <c r="AU29" s="958">
        <v>279015761.56</v>
      </c>
      <c r="AV29" s="958">
        <v>126054906</v>
      </c>
      <c r="AW29" s="958">
        <v>6910896045</v>
      </c>
      <c r="AX29" s="958">
        <v>6909644568</v>
      </c>
      <c r="AY29" s="999">
        <f t="shared" si="7"/>
        <v>0.86021439120055521</v>
      </c>
      <c r="AZ29" s="964">
        <v>19159274310</v>
      </c>
      <c r="BA29" s="1000">
        <f t="shared" si="22"/>
        <v>18832306273.459999</v>
      </c>
      <c r="BB29" s="951">
        <f t="shared" si="9"/>
        <v>0.98293421602250652</v>
      </c>
      <c r="BC29" s="1001">
        <f t="shared" si="23"/>
        <v>16589732857.200001</v>
      </c>
      <c r="BD29" s="951">
        <f t="shared" si="24"/>
        <v>0.86588524120358501</v>
      </c>
      <c r="BE29" s="969"/>
      <c r="BF29" s="969"/>
      <c r="BG29" s="953" t="s">
        <v>1703</v>
      </c>
      <c r="BH29" s="1370"/>
    </row>
    <row r="30" spans="1:61" s="908" customFormat="1" ht="47.4" customHeight="1">
      <c r="A30" s="947" t="s">
        <v>2169</v>
      </c>
      <c r="B30" s="979" t="s">
        <v>2170</v>
      </c>
      <c r="C30" s="980" t="s">
        <v>2108</v>
      </c>
      <c r="D30" s="949">
        <v>1</v>
      </c>
      <c r="E30" s="949">
        <v>1</v>
      </c>
      <c r="F30" s="949">
        <v>1</v>
      </c>
      <c r="G30" s="949">
        <v>1</v>
      </c>
      <c r="H30" s="949">
        <v>1</v>
      </c>
      <c r="I30" s="949">
        <v>2</v>
      </c>
      <c r="J30" s="949">
        <v>2</v>
      </c>
      <c r="K30" s="949">
        <v>2</v>
      </c>
      <c r="L30" s="949"/>
      <c r="M30" s="949"/>
      <c r="N30" s="949"/>
      <c r="O30" s="951">
        <f t="shared" si="36"/>
        <v>1</v>
      </c>
      <c r="P30" s="957">
        <f t="shared" si="36"/>
        <v>1</v>
      </c>
      <c r="Q30" s="973">
        <f t="shared" si="36"/>
        <v>1</v>
      </c>
      <c r="R30" s="951">
        <f t="shared" si="37"/>
        <v>1</v>
      </c>
      <c r="S30" s="953" t="s">
        <v>2171</v>
      </c>
      <c r="T30" s="974">
        <v>45107</v>
      </c>
      <c r="U30" s="912"/>
      <c r="V30" s="912"/>
      <c r="W30" s="953"/>
      <c r="X30" s="912"/>
      <c r="Y30" s="949">
        <f t="shared" si="38"/>
        <v>4</v>
      </c>
      <c r="Z30" s="956">
        <f t="shared" si="39"/>
        <v>7</v>
      </c>
      <c r="AA30" s="957">
        <f t="shared" si="40"/>
        <v>1</v>
      </c>
      <c r="AB30" s="996">
        <v>0.1</v>
      </c>
      <c r="AC30" s="996">
        <v>0.1</v>
      </c>
      <c r="AD30" s="996">
        <v>0.1</v>
      </c>
      <c r="AE30" s="996">
        <v>0.1</v>
      </c>
      <c r="AF30" s="996">
        <v>0.1</v>
      </c>
      <c r="AG30" s="958">
        <v>300000000</v>
      </c>
      <c r="AH30" s="958">
        <v>25000000</v>
      </c>
      <c r="AI30" s="1006">
        <v>295340879</v>
      </c>
      <c r="AJ30" s="1006">
        <v>322056707</v>
      </c>
      <c r="AK30" s="1006">
        <v>300000000</v>
      </c>
      <c r="AL30" s="959">
        <f t="shared" si="20"/>
        <v>1</v>
      </c>
      <c r="AM30" s="958">
        <v>15000000</v>
      </c>
      <c r="AN30" s="1006">
        <v>294799603</v>
      </c>
      <c r="AO30" s="1006">
        <v>311012803</v>
      </c>
      <c r="AP30" s="1006">
        <v>300000000</v>
      </c>
      <c r="AQ30" s="971">
        <f t="shared" si="21"/>
        <v>1</v>
      </c>
      <c r="AR30" s="958">
        <f t="shared" si="41"/>
        <v>11043904</v>
      </c>
      <c r="AS30" s="958">
        <v>10000000</v>
      </c>
      <c r="AT30" s="958">
        <v>10000000</v>
      </c>
      <c r="AU30" s="958">
        <v>541276</v>
      </c>
      <c r="AV30" s="958">
        <v>403060</v>
      </c>
      <c r="AW30" s="958">
        <v>11043904</v>
      </c>
      <c r="AX30" s="958">
        <v>10632307</v>
      </c>
      <c r="AY30" s="999">
        <f t="shared" si="7"/>
        <v>6.6679943070856105</v>
      </c>
      <c r="AZ30" s="964">
        <v>1322500000</v>
      </c>
      <c r="BA30" s="1000">
        <f t="shared" si="22"/>
        <v>942397586</v>
      </c>
      <c r="BB30" s="951">
        <f t="shared" si="9"/>
        <v>0.71258796672967861</v>
      </c>
      <c r="BC30" s="1001">
        <f t="shared" si="23"/>
        <v>941847773</v>
      </c>
      <c r="BD30" s="951">
        <f t="shared" si="24"/>
        <v>0.71217222911153122</v>
      </c>
      <c r="BE30" s="969"/>
      <c r="BF30" s="969"/>
      <c r="BG30" s="953" t="s">
        <v>1703</v>
      </c>
      <c r="BH30" s="970" t="s">
        <v>2172</v>
      </c>
    </row>
    <row r="31" spans="1:61" s="935" customFormat="1" ht="47.4" customHeight="1">
      <c r="A31" s="925" t="s">
        <v>2173</v>
      </c>
      <c r="B31" s="926"/>
      <c r="C31" s="926"/>
      <c r="D31" s="927"/>
      <c r="E31" s="927"/>
      <c r="F31" s="927"/>
      <c r="G31" s="927"/>
      <c r="H31" s="927"/>
      <c r="I31" s="927"/>
      <c r="J31" s="927"/>
      <c r="K31" s="927"/>
      <c r="L31" s="927"/>
      <c r="M31" s="927"/>
      <c r="N31" s="927"/>
      <c r="O31" s="933">
        <f>+(O32*AC32)+(O36*AC36)+(O44*AC44)</f>
        <v>0.87424999999999997</v>
      </c>
      <c r="P31" s="933">
        <f t="shared" ref="P31:R31" si="42">+(P32*AD32)+(P36*AD36)+(P44*AD44)</f>
        <v>0.97199999999999998</v>
      </c>
      <c r="Q31" s="933">
        <f t="shared" si="42"/>
        <v>0.968225</v>
      </c>
      <c r="R31" s="933">
        <f t="shared" si="42"/>
        <v>0.97166666666666668</v>
      </c>
      <c r="S31" s="926"/>
      <c r="T31" s="926"/>
      <c r="U31" s="1008"/>
      <c r="V31" s="1008"/>
      <c r="W31" s="1008"/>
      <c r="X31" s="926"/>
      <c r="Y31" s="929"/>
      <c r="Z31" s="929">
        <f>SUM(H31:M31)</f>
        <v>0</v>
      </c>
      <c r="AA31" s="933">
        <f>+(AA32*AB32)+(AA36*AB36)+(AA44*AB44)</f>
        <v>0.95565523148148146</v>
      </c>
      <c r="AB31" s="928">
        <v>0.25</v>
      </c>
      <c r="AC31" s="928">
        <v>0.25</v>
      </c>
      <c r="AD31" s="928">
        <v>0.25</v>
      </c>
      <c r="AE31" s="928">
        <v>0.25</v>
      </c>
      <c r="AF31" s="928">
        <v>0.25</v>
      </c>
      <c r="AG31" s="926">
        <f>+AG32+AG36+AG44</f>
        <v>14000370369</v>
      </c>
      <c r="AH31" s="926">
        <f>+AH32+AH36+AH44</f>
        <v>1659050070</v>
      </c>
      <c r="AI31" s="926">
        <f>+AI32+AI36+AI44</f>
        <v>19181525696.200001</v>
      </c>
      <c r="AJ31" s="926">
        <f>+AJ32+AJ36+AJ44</f>
        <v>14721169038</v>
      </c>
      <c r="AK31" s="926">
        <f>+AK32+AK36+AK44</f>
        <v>13990435256.1</v>
      </c>
      <c r="AL31" s="931">
        <f t="shared" si="20"/>
        <v>0.99929036785183922</v>
      </c>
      <c r="AM31" s="926">
        <f>+AM32+AM36+AM44</f>
        <v>262300000</v>
      </c>
      <c r="AN31" s="926">
        <f>+AN32+AN36+AN44</f>
        <v>8942596167</v>
      </c>
      <c r="AO31" s="926">
        <f>+AO32+AO36+AO44</f>
        <v>7735525918</v>
      </c>
      <c r="AP31" s="926">
        <f>+AP32+AP36+AP44</f>
        <v>4810886546</v>
      </c>
      <c r="AQ31" s="933">
        <f t="shared" si="21"/>
        <v>0.34362566269335243</v>
      </c>
      <c r="AR31" s="926">
        <f t="shared" ref="AR31:AX31" si="43">+AR32+AR36+AR44</f>
        <v>6985643120</v>
      </c>
      <c r="AS31" s="932">
        <f t="shared" si="43"/>
        <v>1396750070</v>
      </c>
      <c r="AT31" s="926">
        <f t="shared" si="43"/>
        <v>911842980</v>
      </c>
      <c r="AU31" s="926">
        <f t="shared" si="43"/>
        <v>10238929529.200001</v>
      </c>
      <c r="AV31" s="926">
        <f t="shared" si="43"/>
        <v>881473792.20000005</v>
      </c>
      <c r="AW31" s="926">
        <f t="shared" si="43"/>
        <v>6985643120</v>
      </c>
      <c r="AX31" s="926">
        <f t="shared" si="43"/>
        <v>6556382096</v>
      </c>
      <c r="AY31" s="934">
        <f t="shared" si="7"/>
        <v>0.98912075084648754</v>
      </c>
      <c r="AZ31" s="1009">
        <f>+AZ32+AZ36+AZ44</f>
        <v>60448949256</v>
      </c>
      <c r="BA31" s="926">
        <f t="shared" si="22"/>
        <v>49552180060.299995</v>
      </c>
      <c r="BB31" s="928">
        <f t="shared" si="9"/>
        <v>0.81973600319250506</v>
      </c>
      <c r="BC31" s="1010">
        <f t="shared" si="23"/>
        <v>30101007499.200001</v>
      </c>
      <c r="BD31" s="928">
        <f t="shared" si="24"/>
        <v>0.49795749751948343</v>
      </c>
      <c r="BE31" s="926"/>
      <c r="BF31" s="926" t="s">
        <v>1696</v>
      </c>
      <c r="BG31" s="926"/>
      <c r="BH31" s="926"/>
      <c r="BI31" s="935" t="s">
        <v>2103</v>
      </c>
    </row>
    <row r="32" spans="1:61" s="908" customFormat="1" ht="47.4" customHeight="1">
      <c r="A32" s="936" t="s">
        <v>2174</v>
      </c>
      <c r="B32" s="937"/>
      <c r="C32" s="937"/>
      <c r="D32" s="938"/>
      <c r="E32" s="938"/>
      <c r="F32" s="938"/>
      <c r="G32" s="938"/>
      <c r="H32" s="938"/>
      <c r="I32" s="938"/>
      <c r="J32" s="938"/>
      <c r="K32" s="938"/>
      <c r="L32" s="938"/>
      <c r="M32" s="938"/>
      <c r="N32" s="938"/>
      <c r="O32" s="939">
        <f>+SUMPRODUCT(O33:O35,AC33:AC35)</f>
        <v>0.82250000000000001</v>
      </c>
      <c r="P32" s="939">
        <f t="shared" ref="P32:R32" si="44">+SUMPRODUCT(P33:P35,AD33:AD35)</f>
        <v>0.72</v>
      </c>
      <c r="Q32" s="939">
        <f t="shared" si="44"/>
        <v>0.68225000000000002</v>
      </c>
      <c r="R32" s="939">
        <f t="shared" si="44"/>
        <v>0.71666666666666667</v>
      </c>
      <c r="S32" s="937"/>
      <c r="T32" s="937"/>
      <c r="U32" s="937"/>
      <c r="V32" s="937"/>
      <c r="W32" s="937"/>
      <c r="X32" s="937"/>
      <c r="Y32" s="940"/>
      <c r="Z32" s="940">
        <f>SUM(H32:M32)</f>
        <v>0</v>
      </c>
      <c r="AA32" s="939">
        <f>+SUMPRODUCT(AA33:AA35,AB33:AB35)</f>
        <v>0.75655231481481477</v>
      </c>
      <c r="AB32" s="939">
        <v>0.1</v>
      </c>
      <c r="AC32" s="939">
        <v>0.1</v>
      </c>
      <c r="AD32" s="939">
        <v>0.1</v>
      </c>
      <c r="AE32" s="939">
        <v>0.1</v>
      </c>
      <c r="AF32" s="939">
        <v>0.1</v>
      </c>
      <c r="AG32" s="937">
        <f>+SUM(AG33:AG35)</f>
        <v>600000000</v>
      </c>
      <c r="AH32" s="937">
        <f>SUM(AH33:AH35)</f>
        <v>162750000</v>
      </c>
      <c r="AI32" s="937">
        <f>SUM(AI33:AI35)</f>
        <v>695340879</v>
      </c>
      <c r="AJ32" s="937">
        <f>SUM(AJ33:AJ35)</f>
        <v>538263960</v>
      </c>
      <c r="AK32" s="937">
        <f>+SUM(AK33:AK35)</f>
        <v>600000000</v>
      </c>
      <c r="AL32" s="943">
        <f t="shared" si="20"/>
        <v>1</v>
      </c>
      <c r="AM32" s="937">
        <f>SUM(AM33:AM35)</f>
        <v>120400000</v>
      </c>
      <c r="AN32" s="937">
        <f>SUM(AN33:AN35)</f>
        <v>665439603</v>
      </c>
      <c r="AO32" s="937">
        <f>SUM(AO33:AO35)</f>
        <v>517582917</v>
      </c>
      <c r="AP32" s="937">
        <f>+SUM(AP33:AP35)</f>
        <v>474076000</v>
      </c>
      <c r="AQ32" s="944">
        <f t="shared" si="21"/>
        <v>0.79012666666666664</v>
      </c>
      <c r="AR32" s="945">
        <f t="shared" ref="AR32:AX32" si="45">SUM(AR33:AR35)</f>
        <v>20681043</v>
      </c>
      <c r="AS32" s="942">
        <f t="shared" si="45"/>
        <v>42350000</v>
      </c>
      <c r="AT32" s="937">
        <f t="shared" si="45"/>
        <v>42350000</v>
      </c>
      <c r="AU32" s="937">
        <f t="shared" si="45"/>
        <v>29901276</v>
      </c>
      <c r="AV32" s="937">
        <f t="shared" si="45"/>
        <v>27003060</v>
      </c>
      <c r="AW32" s="937">
        <f t="shared" si="45"/>
        <v>20681043</v>
      </c>
      <c r="AX32" s="937">
        <f t="shared" si="45"/>
        <v>20221387</v>
      </c>
      <c r="AY32" s="946">
        <f t="shared" si="7"/>
        <v>0.51410883870798973</v>
      </c>
      <c r="AZ32" s="989">
        <f>SUM(AZ33:AZ35)</f>
        <v>2045400000</v>
      </c>
      <c r="BA32" s="937">
        <f t="shared" si="22"/>
        <v>1996354839</v>
      </c>
      <c r="BB32" s="939">
        <f t="shared" si="9"/>
        <v>0.97602172631270168</v>
      </c>
      <c r="BC32" s="1005">
        <f t="shared" si="23"/>
        <v>1867072967</v>
      </c>
      <c r="BD32" s="939">
        <f t="shared" si="24"/>
        <v>0.91281557005964609</v>
      </c>
      <c r="BE32" s="945"/>
      <c r="BF32" s="945"/>
      <c r="BG32" s="945"/>
      <c r="BH32" s="945"/>
    </row>
    <row r="33" spans="1:61" s="908" customFormat="1" ht="47.4" customHeight="1">
      <c r="A33" s="994" t="s">
        <v>2175</v>
      </c>
      <c r="B33" s="1011" t="s">
        <v>2176</v>
      </c>
      <c r="C33" s="948" t="s">
        <v>1056</v>
      </c>
      <c r="D33" s="951">
        <v>0.4</v>
      </c>
      <c r="E33" s="951">
        <v>0.6</v>
      </c>
      <c r="F33" s="951">
        <v>0.8</v>
      </c>
      <c r="G33" s="951">
        <v>0.9</v>
      </c>
      <c r="H33" s="951">
        <v>0.16</v>
      </c>
      <c r="I33" s="951">
        <v>0.52</v>
      </c>
      <c r="J33" s="951">
        <v>0.3916</v>
      </c>
      <c r="K33" s="951">
        <v>0.5</v>
      </c>
      <c r="L33" s="951">
        <v>0.15</v>
      </c>
      <c r="M33" s="951">
        <v>0.15</v>
      </c>
      <c r="N33" s="951"/>
      <c r="O33" s="951">
        <f t="shared" ref="O33:Q35" si="46">+IFERROR(IF((H33+L33)/D33&gt;=100%,100%,(H33+L33)/D33),0)</f>
        <v>0.77499999999999991</v>
      </c>
      <c r="P33" s="957">
        <f t="shared" si="46"/>
        <v>1</v>
      </c>
      <c r="Q33" s="973">
        <f t="shared" si="46"/>
        <v>0.48949999999999999</v>
      </c>
      <c r="R33" s="951">
        <f t="shared" ref="R33:R35" si="47">+IFERROR(IF(K33/G33&gt;=100%,100%,K33/G33),0)</f>
        <v>0.55555555555555558</v>
      </c>
      <c r="S33" s="952" t="s">
        <v>2177</v>
      </c>
      <c r="T33" s="952"/>
      <c r="U33" s="985"/>
      <c r="V33" s="985"/>
      <c r="W33" s="952"/>
      <c r="X33" s="985"/>
      <c r="Y33" s="973">
        <f t="shared" ref="Y33:Y35" si="48">SUM(D33:G33)</f>
        <v>2.7</v>
      </c>
      <c r="Z33" s="977">
        <f t="shared" ref="Z33:Z35" si="49">SUM(H33:N33)</f>
        <v>1.8715999999999999</v>
      </c>
      <c r="AA33" s="957">
        <f t="shared" si="40"/>
        <v>0.69318518518518513</v>
      </c>
      <c r="AB33" s="996">
        <v>0.35</v>
      </c>
      <c r="AC33" s="996">
        <v>0.5</v>
      </c>
      <c r="AD33" s="996">
        <v>0.35</v>
      </c>
      <c r="AE33" s="996">
        <v>0.5</v>
      </c>
      <c r="AF33" s="996">
        <v>0.3</v>
      </c>
      <c r="AG33" s="997">
        <v>175000000</v>
      </c>
      <c r="AH33" s="958">
        <v>77150000</v>
      </c>
      <c r="AI33" s="958">
        <v>200000000</v>
      </c>
      <c r="AJ33" s="958">
        <v>293075474</v>
      </c>
      <c r="AK33" s="958">
        <v>175000000</v>
      </c>
      <c r="AL33" s="959">
        <f t="shared" si="20"/>
        <v>1</v>
      </c>
      <c r="AM33" s="958">
        <v>56300000</v>
      </c>
      <c r="AN33" s="958">
        <v>188000000</v>
      </c>
      <c r="AO33" s="958">
        <v>278874807</v>
      </c>
      <c r="AP33" s="958">
        <v>172000000</v>
      </c>
      <c r="AQ33" s="971">
        <f t="shared" si="21"/>
        <v>0.98285714285714287</v>
      </c>
      <c r="AR33" s="958">
        <f>+AJ33-AO33</f>
        <v>14200667</v>
      </c>
      <c r="AS33" s="958">
        <v>20850000</v>
      </c>
      <c r="AT33" s="958">
        <v>20850000</v>
      </c>
      <c r="AU33" s="958">
        <v>12000000</v>
      </c>
      <c r="AV33" s="958">
        <v>12000000</v>
      </c>
      <c r="AW33" s="958">
        <v>14200667</v>
      </c>
      <c r="AX33" s="958">
        <v>14043986</v>
      </c>
      <c r="AY33" s="999">
        <f t="shared" si="7"/>
        <v>461.69536233755781</v>
      </c>
      <c r="AZ33" s="964">
        <v>770700000</v>
      </c>
      <c r="BA33" s="1000">
        <f t="shared" si="22"/>
        <v>745225474</v>
      </c>
      <c r="BB33" s="951">
        <f t="shared" si="9"/>
        <v>0.96694624886466851</v>
      </c>
      <c r="BC33" s="1001">
        <f t="shared" si="23"/>
        <v>742068793</v>
      </c>
      <c r="BD33" s="951">
        <f t="shared" si="24"/>
        <v>0.9628503866614766</v>
      </c>
      <c r="BE33" s="969"/>
      <c r="BF33" s="969"/>
      <c r="BG33" s="953" t="s">
        <v>1703</v>
      </c>
      <c r="BH33" s="1383" t="s">
        <v>2178</v>
      </c>
    </row>
    <row r="34" spans="1:61" s="908" customFormat="1" ht="47.4" customHeight="1">
      <c r="A34" s="994" t="s">
        <v>2179</v>
      </c>
      <c r="B34" s="1013" t="s">
        <v>2180</v>
      </c>
      <c r="C34" s="948" t="s">
        <v>1056</v>
      </c>
      <c r="D34" s="951">
        <v>1</v>
      </c>
      <c r="E34" s="951">
        <v>1</v>
      </c>
      <c r="F34" s="951">
        <v>1</v>
      </c>
      <c r="G34" s="951">
        <v>1</v>
      </c>
      <c r="H34" s="951">
        <v>0.87</v>
      </c>
      <c r="I34" s="951">
        <v>0.2</v>
      </c>
      <c r="J34" s="951">
        <v>0.875</v>
      </c>
      <c r="K34" s="951">
        <v>0.5</v>
      </c>
      <c r="L34" s="949"/>
      <c r="M34" s="949"/>
      <c r="N34" s="949"/>
      <c r="O34" s="951">
        <f t="shared" si="46"/>
        <v>0.87</v>
      </c>
      <c r="P34" s="957">
        <f t="shared" si="46"/>
        <v>0.2</v>
      </c>
      <c r="Q34" s="973">
        <f t="shared" si="46"/>
        <v>0.875</v>
      </c>
      <c r="R34" s="951">
        <f t="shared" si="47"/>
        <v>0.5</v>
      </c>
      <c r="S34" s="953" t="s">
        <v>2181</v>
      </c>
      <c r="T34" s="952"/>
      <c r="U34" s="985"/>
      <c r="V34" s="985"/>
      <c r="W34" s="952"/>
      <c r="X34" s="985"/>
      <c r="Y34" s="973">
        <f t="shared" si="48"/>
        <v>4</v>
      </c>
      <c r="Z34" s="977">
        <f t="shared" si="49"/>
        <v>2.4450000000000003</v>
      </c>
      <c r="AA34" s="957">
        <f t="shared" si="40"/>
        <v>0.61125000000000007</v>
      </c>
      <c r="AB34" s="996">
        <v>0.35</v>
      </c>
      <c r="AC34" s="996">
        <v>0.5</v>
      </c>
      <c r="AD34" s="996">
        <v>0.35</v>
      </c>
      <c r="AE34" s="996">
        <v>0.5</v>
      </c>
      <c r="AF34" s="996">
        <v>0.3</v>
      </c>
      <c r="AG34" s="997">
        <v>175000000</v>
      </c>
      <c r="AH34" s="958">
        <v>85600000</v>
      </c>
      <c r="AI34" s="958">
        <v>200000000</v>
      </c>
      <c r="AJ34" s="958">
        <v>245188486</v>
      </c>
      <c r="AK34" s="958">
        <v>175000000</v>
      </c>
      <c r="AL34" s="959">
        <f t="shared" si="20"/>
        <v>1</v>
      </c>
      <c r="AM34" s="958">
        <v>64100000</v>
      </c>
      <c r="AN34" s="958">
        <v>182640000</v>
      </c>
      <c r="AO34" s="958">
        <v>238708110</v>
      </c>
      <c r="AP34" s="958">
        <v>175000000</v>
      </c>
      <c r="AQ34" s="971">
        <f t="shared" si="21"/>
        <v>1</v>
      </c>
      <c r="AR34" s="958">
        <f t="shared" ref="AR34:AR47" si="50">+AJ34-AO34</f>
        <v>6480376</v>
      </c>
      <c r="AS34" s="958">
        <v>21500000</v>
      </c>
      <c r="AT34" s="958">
        <v>21500000</v>
      </c>
      <c r="AU34" s="958">
        <v>17360000</v>
      </c>
      <c r="AV34" s="958">
        <v>14600000</v>
      </c>
      <c r="AW34" s="958">
        <v>6480376</v>
      </c>
      <c r="AX34" s="958">
        <v>6177401</v>
      </c>
      <c r="AY34" s="999">
        <f t="shared" si="7"/>
        <v>3.1204033531387685</v>
      </c>
      <c r="AZ34" s="964">
        <v>724700000</v>
      </c>
      <c r="BA34" s="1000">
        <f t="shared" si="22"/>
        <v>705788486</v>
      </c>
      <c r="BB34" s="951">
        <f t="shared" si="9"/>
        <v>0.97390435490547811</v>
      </c>
      <c r="BC34" s="1001">
        <f t="shared" si="23"/>
        <v>702725511</v>
      </c>
      <c r="BD34" s="951">
        <f t="shared" si="24"/>
        <v>0.96967781288809163</v>
      </c>
      <c r="BE34" s="969"/>
      <c r="BF34" s="969"/>
      <c r="BG34" s="953" t="s">
        <v>199</v>
      </c>
      <c r="BH34" s="1370"/>
    </row>
    <row r="35" spans="1:61" s="908" customFormat="1" ht="47.4" customHeight="1">
      <c r="A35" s="994" t="s">
        <v>2182</v>
      </c>
      <c r="B35" s="1011" t="s">
        <v>2183</v>
      </c>
      <c r="C35" s="980" t="s">
        <v>2108</v>
      </c>
      <c r="D35" s="949">
        <v>0</v>
      </c>
      <c r="E35" s="949">
        <v>1</v>
      </c>
      <c r="F35" s="949">
        <v>0</v>
      </c>
      <c r="G35" s="949">
        <v>1</v>
      </c>
      <c r="H35" s="949">
        <v>0</v>
      </c>
      <c r="I35" s="949">
        <v>0</v>
      </c>
      <c r="J35" s="949">
        <v>0</v>
      </c>
      <c r="K35" s="982">
        <v>1</v>
      </c>
      <c r="L35" s="949"/>
      <c r="M35" s="949">
        <v>1</v>
      </c>
      <c r="N35" s="949"/>
      <c r="O35" s="951">
        <f t="shared" si="46"/>
        <v>0</v>
      </c>
      <c r="P35" s="957">
        <f t="shared" si="46"/>
        <v>1</v>
      </c>
      <c r="Q35" s="951">
        <f t="shared" si="46"/>
        <v>0</v>
      </c>
      <c r="R35" s="951">
        <f t="shared" si="47"/>
        <v>1</v>
      </c>
      <c r="S35" s="988" t="s">
        <v>2184</v>
      </c>
      <c r="T35" s="974">
        <v>45107</v>
      </c>
      <c r="U35" s="954" t="s">
        <v>2115</v>
      </c>
      <c r="V35" s="912"/>
      <c r="W35" s="953" t="s">
        <v>2116</v>
      </c>
      <c r="X35" s="953" t="s">
        <v>2185</v>
      </c>
      <c r="Y35" s="949">
        <f t="shared" si="48"/>
        <v>2</v>
      </c>
      <c r="Z35" s="951">
        <f t="shared" si="49"/>
        <v>2</v>
      </c>
      <c r="AA35" s="957">
        <f t="shared" si="40"/>
        <v>1</v>
      </c>
      <c r="AB35" s="996">
        <v>0.3</v>
      </c>
      <c r="AC35" s="996">
        <v>0</v>
      </c>
      <c r="AD35" s="996">
        <v>0.3</v>
      </c>
      <c r="AE35" s="996">
        <v>0</v>
      </c>
      <c r="AF35" s="996">
        <v>0.4</v>
      </c>
      <c r="AG35" s="997">
        <v>250000000</v>
      </c>
      <c r="AH35" s="997" t="s">
        <v>2120</v>
      </c>
      <c r="AI35" s="958">
        <v>295340879</v>
      </c>
      <c r="AJ35" s="958">
        <v>0</v>
      </c>
      <c r="AK35" s="958">
        <v>250000000</v>
      </c>
      <c r="AL35" s="959">
        <f t="shared" si="20"/>
        <v>1</v>
      </c>
      <c r="AM35" s="997" t="s">
        <v>2120</v>
      </c>
      <c r="AN35" s="958">
        <v>294799603</v>
      </c>
      <c r="AO35" s="958"/>
      <c r="AP35" s="958">
        <v>127076000</v>
      </c>
      <c r="AQ35" s="971">
        <f t="shared" si="21"/>
        <v>0.50830399999999998</v>
      </c>
      <c r="AR35" s="958">
        <f t="shared" si="50"/>
        <v>0</v>
      </c>
      <c r="AS35" s="997">
        <v>0</v>
      </c>
      <c r="AT35" s="997">
        <v>0</v>
      </c>
      <c r="AU35" s="997">
        <v>541276</v>
      </c>
      <c r="AV35" s="997">
        <v>403060</v>
      </c>
      <c r="AW35" s="997"/>
      <c r="AX35" s="997"/>
      <c r="AY35" s="999" t="e">
        <f t="shared" si="7"/>
        <v>#DIV/0!</v>
      </c>
      <c r="AZ35" s="1014">
        <v>550000000</v>
      </c>
      <c r="BA35" s="1000">
        <f t="shared" si="22"/>
        <v>545340879</v>
      </c>
      <c r="BB35" s="951">
        <f t="shared" si="9"/>
        <v>0.99152887090909092</v>
      </c>
      <c r="BC35" s="1001">
        <f t="shared" si="23"/>
        <v>422278663</v>
      </c>
      <c r="BD35" s="951">
        <f t="shared" si="24"/>
        <v>0.76777938727272732</v>
      </c>
      <c r="BE35" s="969"/>
      <c r="BF35" s="969"/>
      <c r="BG35" s="953" t="s">
        <v>1703</v>
      </c>
      <c r="BH35" s="1012" t="s">
        <v>2160</v>
      </c>
    </row>
    <row r="36" spans="1:61" s="908" customFormat="1" ht="47.4" customHeight="1">
      <c r="A36" s="936" t="s">
        <v>2186</v>
      </c>
      <c r="B36" s="937"/>
      <c r="C36" s="937"/>
      <c r="D36" s="938"/>
      <c r="E36" s="938"/>
      <c r="F36" s="938"/>
      <c r="G36" s="938"/>
      <c r="H36" s="938"/>
      <c r="I36" s="938"/>
      <c r="J36" s="938"/>
      <c r="K36" s="938"/>
      <c r="L36" s="938"/>
      <c r="M36" s="938"/>
      <c r="N36" s="938"/>
      <c r="O36" s="939">
        <f>+SUMPRODUCT(O37:O43,AC37:AC43)</f>
        <v>0.73000000000000009</v>
      </c>
      <c r="P36" s="939">
        <f t="shared" ref="P36:R36" si="51">+SUMPRODUCT(P37:P43,AD37:AD43)</f>
        <v>1</v>
      </c>
      <c r="Q36" s="939">
        <f t="shared" si="51"/>
        <v>1</v>
      </c>
      <c r="R36" s="939">
        <f t="shared" si="51"/>
        <v>1</v>
      </c>
      <c r="S36" s="937"/>
      <c r="T36" s="937"/>
      <c r="U36" s="1015"/>
      <c r="V36" s="1015"/>
      <c r="W36" s="1015"/>
      <c r="X36" s="937"/>
      <c r="Y36" s="940"/>
      <c r="Z36" s="940">
        <f>SUM(H36:M36)</f>
        <v>0</v>
      </c>
      <c r="AA36" s="1003">
        <f>+SUMPRODUCT(AA37:AA43,AB37:AB43)</f>
        <v>0.95</v>
      </c>
      <c r="AB36" s="939">
        <v>0.4</v>
      </c>
      <c r="AC36" s="939">
        <v>0.4</v>
      </c>
      <c r="AD36" s="939">
        <v>0.4</v>
      </c>
      <c r="AE36" s="939">
        <v>0.4</v>
      </c>
      <c r="AF36" s="939">
        <v>0.4</v>
      </c>
      <c r="AG36" s="937">
        <f>+SUM(AG37:AG43)</f>
        <v>1230000000</v>
      </c>
      <c r="AH36" s="937">
        <f>SUM(AH37:AH43)</f>
        <v>919742980</v>
      </c>
      <c r="AI36" s="937">
        <f>SUM(AI37:AI43)</f>
        <v>1950651505.2</v>
      </c>
      <c r="AJ36" s="937">
        <f>SUM(AJ37:AJ43)</f>
        <v>1543714533</v>
      </c>
      <c r="AK36" s="937">
        <f>+SUM(AK37:AK43)</f>
        <v>1230000000</v>
      </c>
      <c r="AL36" s="943">
        <f t="shared" si="20"/>
        <v>1</v>
      </c>
      <c r="AM36" s="937">
        <f>SUM(AM37:AM43)</f>
        <v>90600000</v>
      </c>
      <c r="AN36" s="937">
        <f>SUM(AN37:AN43)</f>
        <v>1366882913</v>
      </c>
      <c r="AO36" s="937">
        <f>SUM(AO37:AO43)</f>
        <v>1157568651</v>
      </c>
      <c r="AP36" s="937">
        <f>+SUM(AP37:AP43)</f>
        <v>1016987765</v>
      </c>
      <c r="AQ36" s="944">
        <f t="shared" si="21"/>
        <v>0.82681932113821133</v>
      </c>
      <c r="AR36" s="945">
        <f t="shared" ref="AR36:AX36" si="52">SUM(AR37:AR43)</f>
        <v>386145882</v>
      </c>
      <c r="AS36" s="1016">
        <f t="shared" si="52"/>
        <v>829142980</v>
      </c>
      <c r="AT36" s="937">
        <f t="shared" si="52"/>
        <v>829142980</v>
      </c>
      <c r="AU36" s="937">
        <f t="shared" si="52"/>
        <v>583768592.20000005</v>
      </c>
      <c r="AV36" s="937">
        <f t="shared" si="52"/>
        <v>581417756.20000005</v>
      </c>
      <c r="AW36" s="937">
        <f t="shared" si="52"/>
        <v>386145882</v>
      </c>
      <c r="AX36" s="937">
        <f t="shared" si="52"/>
        <v>385363405</v>
      </c>
      <c r="AY36" s="946">
        <f t="shared" si="7"/>
        <v>1.5997583524663874E-2</v>
      </c>
      <c r="AZ36" s="989">
        <f>SUM(AZ37:AZ43)</f>
        <v>5899700000</v>
      </c>
      <c r="BA36" s="937">
        <f t="shared" si="22"/>
        <v>5644109018.1999998</v>
      </c>
      <c r="BB36" s="1017">
        <f t="shared" si="9"/>
        <v>0.95667729176059801</v>
      </c>
      <c r="BC36" s="1018">
        <f t="shared" si="23"/>
        <v>5427963470.1999998</v>
      </c>
      <c r="BD36" s="1017">
        <f t="shared" si="24"/>
        <v>0.92004059023340168</v>
      </c>
      <c r="BE36" s="945"/>
      <c r="BF36" s="945"/>
      <c r="BG36" s="945"/>
      <c r="BH36" s="945"/>
    </row>
    <row r="37" spans="1:61" s="908" customFormat="1" ht="47.4" customHeight="1">
      <c r="A37" s="1019" t="s">
        <v>2187</v>
      </c>
      <c r="B37" s="1020" t="s">
        <v>2188</v>
      </c>
      <c r="C37" s="948" t="s">
        <v>1056</v>
      </c>
      <c r="D37" s="951">
        <v>1</v>
      </c>
      <c r="E37" s="951">
        <v>1</v>
      </c>
      <c r="F37" s="951">
        <v>1</v>
      </c>
      <c r="G37" s="951">
        <v>1</v>
      </c>
      <c r="H37" s="951">
        <v>0.93</v>
      </c>
      <c r="I37" s="951">
        <v>1</v>
      </c>
      <c r="J37" s="951">
        <v>1</v>
      </c>
      <c r="K37" s="951">
        <v>1</v>
      </c>
      <c r="L37" s="951">
        <v>7.0000000000000007E-2</v>
      </c>
      <c r="M37" s="951"/>
      <c r="N37" s="951"/>
      <c r="O37" s="951">
        <f t="shared" ref="O37:Q43" si="53">+IFERROR(IF((H37+L37)/D37&gt;=100%,100%,(H37+L37)/D37),0)</f>
        <v>1</v>
      </c>
      <c r="P37" s="957">
        <f t="shared" si="53"/>
        <v>1</v>
      </c>
      <c r="Q37" s="973">
        <f t="shared" si="53"/>
        <v>1</v>
      </c>
      <c r="R37" s="951">
        <f t="shared" ref="R37:R43" si="54">+IFERROR(IF(K37/G37&gt;=100%,100%,K37/G37),0)</f>
        <v>1</v>
      </c>
      <c r="S37" s="988" t="s">
        <v>2189</v>
      </c>
      <c r="T37" s="974">
        <v>45107</v>
      </c>
      <c r="U37" s="912"/>
      <c r="V37" s="912"/>
      <c r="W37" s="953"/>
      <c r="X37" s="912"/>
      <c r="Y37" s="973">
        <f t="shared" ref="Y37:Y43" si="55">SUM(D37:G37)</f>
        <v>4</v>
      </c>
      <c r="Z37" s="977">
        <f t="shared" ref="Z37:Z43" si="56">SUM(H37:N37)</f>
        <v>4</v>
      </c>
      <c r="AA37" s="1021">
        <f t="shared" ref="AA37:AA43" si="57">IF(Z37/Y37&gt;=100%,100%,Z37/Y37)</f>
        <v>1</v>
      </c>
      <c r="AB37" s="1022">
        <v>0.1</v>
      </c>
      <c r="AC37" s="1022">
        <v>0.18</v>
      </c>
      <c r="AD37" s="973">
        <v>0.12</v>
      </c>
      <c r="AE37" s="1023">
        <v>0.14000000000000001</v>
      </c>
      <c r="AF37" s="1023">
        <v>0.14000000000000001</v>
      </c>
      <c r="AG37" s="1024">
        <v>170000000</v>
      </c>
      <c r="AH37" s="958">
        <v>70850000</v>
      </c>
      <c r="AI37" s="958">
        <v>170000000</v>
      </c>
      <c r="AJ37" s="958">
        <v>189510018</v>
      </c>
      <c r="AK37" s="958">
        <v>170000000</v>
      </c>
      <c r="AL37" s="1025">
        <f t="shared" si="20"/>
        <v>1</v>
      </c>
      <c r="AM37" s="958">
        <v>53100000</v>
      </c>
      <c r="AN37" s="958">
        <v>166500000</v>
      </c>
      <c r="AO37" s="958">
        <v>188663299</v>
      </c>
      <c r="AP37" s="958">
        <v>131100000</v>
      </c>
      <c r="AQ37" s="1026">
        <f t="shared" si="21"/>
        <v>0.77117647058823524</v>
      </c>
      <c r="AR37" s="958">
        <f t="shared" si="50"/>
        <v>846719</v>
      </c>
      <c r="AS37" s="958">
        <v>17750000</v>
      </c>
      <c r="AT37" s="958">
        <v>17750000</v>
      </c>
      <c r="AU37" s="958">
        <v>3500000</v>
      </c>
      <c r="AV37" s="958">
        <v>3500000</v>
      </c>
      <c r="AW37" s="958">
        <v>846719</v>
      </c>
      <c r="AX37" s="958">
        <v>713989</v>
      </c>
      <c r="AY37" s="1027">
        <f t="shared" si="7"/>
        <v>0</v>
      </c>
      <c r="AZ37" s="1028">
        <v>619700000</v>
      </c>
      <c r="BA37" s="1000">
        <f t="shared" si="22"/>
        <v>600360018</v>
      </c>
      <c r="BB37" s="973">
        <f t="shared" si="9"/>
        <v>0.96879137969985474</v>
      </c>
      <c r="BC37" s="1029">
        <f t="shared" si="23"/>
        <v>561327288</v>
      </c>
      <c r="BD37" s="973">
        <f t="shared" si="24"/>
        <v>0.90580488623527511</v>
      </c>
      <c r="BE37" s="1030"/>
      <c r="BF37" s="1030"/>
      <c r="BG37" s="952" t="s">
        <v>1062</v>
      </c>
      <c r="BH37" s="1020" t="s">
        <v>2136</v>
      </c>
    </row>
    <row r="38" spans="1:61" s="908" customFormat="1" ht="47.4" customHeight="1">
      <c r="A38" s="1019" t="s">
        <v>2190</v>
      </c>
      <c r="B38" s="1031" t="s">
        <v>2191</v>
      </c>
      <c r="C38" s="1031" t="s">
        <v>2108</v>
      </c>
      <c r="D38" s="1033">
        <v>1</v>
      </c>
      <c r="E38" s="1033">
        <v>1</v>
      </c>
      <c r="F38" s="1033">
        <v>1</v>
      </c>
      <c r="G38" s="1033">
        <v>1</v>
      </c>
      <c r="H38" s="949">
        <v>1</v>
      </c>
      <c r="I38" s="949">
        <v>1</v>
      </c>
      <c r="J38" s="949">
        <v>1</v>
      </c>
      <c r="K38" s="949">
        <v>1</v>
      </c>
      <c r="L38" s="949"/>
      <c r="M38" s="949"/>
      <c r="N38" s="949"/>
      <c r="O38" s="951">
        <f t="shared" si="53"/>
        <v>1</v>
      </c>
      <c r="P38" s="957">
        <f t="shared" si="53"/>
        <v>1</v>
      </c>
      <c r="Q38" s="973">
        <f t="shared" si="53"/>
        <v>1</v>
      </c>
      <c r="R38" s="951">
        <f t="shared" si="54"/>
        <v>1</v>
      </c>
      <c r="S38" s="953" t="s">
        <v>2192</v>
      </c>
      <c r="T38" s="974">
        <v>45107</v>
      </c>
      <c r="U38" s="954" t="s">
        <v>2115</v>
      </c>
      <c r="V38" s="912"/>
      <c r="W38" s="953" t="s">
        <v>2116</v>
      </c>
      <c r="X38" s="953">
        <v>305</v>
      </c>
      <c r="Y38" s="950">
        <f t="shared" si="55"/>
        <v>4</v>
      </c>
      <c r="Z38" s="956">
        <f t="shared" si="56"/>
        <v>4</v>
      </c>
      <c r="AA38" s="1021">
        <f t="shared" si="57"/>
        <v>1</v>
      </c>
      <c r="AB38" s="1022">
        <v>0.3</v>
      </c>
      <c r="AC38" s="1022">
        <v>0.38</v>
      </c>
      <c r="AD38" s="973">
        <v>0.32</v>
      </c>
      <c r="AE38" s="1023">
        <v>0.34</v>
      </c>
      <c r="AF38" s="1023">
        <v>0.34</v>
      </c>
      <c r="AG38" s="1024">
        <v>650000000</v>
      </c>
      <c r="AH38" s="958">
        <v>599224500</v>
      </c>
      <c r="AI38" s="958">
        <v>883408011</v>
      </c>
      <c r="AJ38" s="958">
        <v>960976437</v>
      </c>
      <c r="AK38" s="958">
        <v>650000000</v>
      </c>
      <c r="AL38" s="1025">
        <f t="shared" si="20"/>
        <v>1</v>
      </c>
      <c r="AM38" s="958">
        <v>0</v>
      </c>
      <c r="AN38" s="958">
        <v>463150138</v>
      </c>
      <c r="AO38" s="958">
        <v>699614855</v>
      </c>
      <c r="AP38" s="958">
        <v>484787765</v>
      </c>
      <c r="AQ38" s="1026">
        <f t="shared" si="21"/>
        <v>0.7458273307692308</v>
      </c>
      <c r="AR38" s="958">
        <f t="shared" si="50"/>
        <v>261361582</v>
      </c>
      <c r="AS38" s="958">
        <v>599224500</v>
      </c>
      <c r="AT38" s="958">
        <v>599224500</v>
      </c>
      <c r="AU38" s="958">
        <v>420257873</v>
      </c>
      <c r="AV38" s="958">
        <v>419797153</v>
      </c>
      <c r="AW38" s="958">
        <v>261361582</v>
      </c>
      <c r="AX38" s="958">
        <v>261361580</v>
      </c>
      <c r="AY38" s="1027">
        <f t="shared" si="7"/>
        <v>1.4744454867892558</v>
      </c>
      <c r="AZ38" s="1028">
        <v>3111700000</v>
      </c>
      <c r="BA38" s="1000">
        <f t="shared" si="22"/>
        <v>3093608948</v>
      </c>
      <c r="BB38" s="973">
        <f t="shared" si="9"/>
        <v>0.99418611948452618</v>
      </c>
      <c r="BC38" s="1029">
        <f t="shared" si="23"/>
        <v>2927935991</v>
      </c>
      <c r="BD38" s="973">
        <f t="shared" si="24"/>
        <v>0.94094417553106025</v>
      </c>
      <c r="BE38" s="1030"/>
      <c r="BF38" s="1030"/>
      <c r="BG38" s="952" t="s">
        <v>1703</v>
      </c>
      <c r="BH38" s="1384" t="s">
        <v>2193</v>
      </c>
    </row>
    <row r="39" spans="1:61" s="908" customFormat="1" ht="47.4" customHeight="1">
      <c r="A39" s="1019" t="s">
        <v>2194</v>
      </c>
      <c r="B39" s="1031" t="s">
        <v>2195</v>
      </c>
      <c r="C39" s="1031" t="s">
        <v>2108</v>
      </c>
      <c r="D39" s="1033">
        <v>1</v>
      </c>
      <c r="E39" s="1033">
        <v>1</v>
      </c>
      <c r="F39" s="1033">
        <v>1</v>
      </c>
      <c r="G39" s="1033">
        <v>1</v>
      </c>
      <c r="H39" s="949">
        <v>0</v>
      </c>
      <c r="I39" s="949">
        <v>0</v>
      </c>
      <c r="J39" s="949">
        <v>1</v>
      </c>
      <c r="K39" s="982">
        <v>1</v>
      </c>
      <c r="L39" s="949"/>
      <c r="M39" s="949">
        <v>1</v>
      </c>
      <c r="N39" s="949"/>
      <c r="O39" s="951">
        <f t="shared" si="53"/>
        <v>0</v>
      </c>
      <c r="P39" s="957">
        <f t="shared" si="53"/>
        <v>1</v>
      </c>
      <c r="Q39" s="973">
        <f t="shared" si="53"/>
        <v>1</v>
      </c>
      <c r="R39" s="951">
        <f t="shared" si="54"/>
        <v>1</v>
      </c>
      <c r="S39" s="953" t="s">
        <v>2192</v>
      </c>
      <c r="T39" s="974">
        <v>45107</v>
      </c>
      <c r="U39" s="954" t="s">
        <v>2115</v>
      </c>
      <c r="V39" s="912"/>
      <c r="W39" s="953" t="s">
        <v>2116</v>
      </c>
      <c r="X39" s="953" t="s">
        <v>2145</v>
      </c>
      <c r="Y39" s="950">
        <f t="shared" si="55"/>
        <v>4</v>
      </c>
      <c r="Z39" s="956">
        <f t="shared" si="56"/>
        <v>3</v>
      </c>
      <c r="AA39" s="1021">
        <f t="shared" si="57"/>
        <v>0.75</v>
      </c>
      <c r="AB39" s="1022">
        <v>0.2</v>
      </c>
      <c r="AC39" s="1022">
        <v>0.27</v>
      </c>
      <c r="AD39" s="973">
        <v>0.21</v>
      </c>
      <c r="AE39" s="1023">
        <v>0.24</v>
      </c>
      <c r="AF39" s="1023">
        <v>0.24</v>
      </c>
      <c r="AG39" s="1024">
        <v>250000000</v>
      </c>
      <c r="AH39" s="1024" t="s">
        <v>2120</v>
      </c>
      <c r="AI39" s="958">
        <v>254533137</v>
      </c>
      <c r="AJ39" s="958">
        <v>233567242</v>
      </c>
      <c r="AK39" s="958">
        <v>250000000</v>
      </c>
      <c r="AL39" s="1025">
        <f t="shared" si="20"/>
        <v>1</v>
      </c>
      <c r="AM39" s="1024" t="s">
        <v>2120</v>
      </c>
      <c r="AN39" s="958">
        <v>129012074</v>
      </c>
      <c r="AO39" s="958">
        <v>112257536</v>
      </c>
      <c r="AP39" s="958">
        <v>250000000</v>
      </c>
      <c r="AQ39" s="1026">
        <f t="shared" si="21"/>
        <v>1</v>
      </c>
      <c r="AR39" s="958">
        <f t="shared" si="50"/>
        <v>121309706</v>
      </c>
      <c r="AS39" s="1024" t="s">
        <v>2120</v>
      </c>
      <c r="AT39" s="958">
        <v>0</v>
      </c>
      <c r="AU39" s="1024">
        <v>125521063</v>
      </c>
      <c r="AV39" s="1024">
        <v>124949833</v>
      </c>
      <c r="AW39" s="1024">
        <v>121309706</v>
      </c>
      <c r="AX39" s="1024">
        <v>121077913</v>
      </c>
      <c r="AY39" s="1027">
        <f t="shared" si="7"/>
        <v>5.8856708464861008E-3</v>
      </c>
      <c r="AZ39" s="1028">
        <v>948300000</v>
      </c>
      <c r="BA39" s="1000">
        <f t="shared" si="22"/>
        <v>738100379</v>
      </c>
      <c r="BB39" s="973">
        <f t="shared" si="9"/>
        <v>0.77834058736686706</v>
      </c>
      <c r="BC39" s="1029">
        <f t="shared" si="23"/>
        <v>737297356</v>
      </c>
      <c r="BD39" s="973">
        <f t="shared" si="24"/>
        <v>0.77749378466729935</v>
      </c>
      <c r="BE39" s="1030"/>
      <c r="BF39" s="1030"/>
      <c r="BG39" s="952" t="s">
        <v>1703</v>
      </c>
      <c r="BH39" s="1370"/>
    </row>
    <row r="40" spans="1:61" s="908" customFormat="1" ht="68.25" hidden="1" customHeight="1">
      <c r="A40" s="1019" t="s">
        <v>2196</v>
      </c>
      <c r="B40" s="1034" t="s">
        <v>2197</v>
      </c>
      <c r="C40" s="1034" t="s">
        <v>2108</v>
      </c>
      <c r="D40" s="1032">
        <v>0</v>
      </c>
      <c r="E40" s="1032">
        <v>1</v>
      </c>
      <c r="F40" s="1032">
        <v>0</v>
      </c>
      <c r="G40" s="1032">
        <v>0</v>
      </c>
      <c r="H40" s="949">
        <v>0</v>
      </c>
      <c r="I40" s="949">
        <v>1</v>
      </c>
      <c r="J40" s="949">
        <v>0</v>
      </c>
      <c r="K40" s="949"/>
      <c r="L40" s="949"/>
      <c r="M40" s="949"/>
      <c r="N40" s="949"/>
      <c r="O40" s="951">
        <f t="shared" si="53"/>
        <v>0</v>
      </c>
      <c r="P40" s="957">
        <f t="shared" si="53"/>
        <v>1</v>
      </c>
      <c r="Q40" s="951">
        <f t="shared" si="53"/>
        <v>0</v>
      </c>
      <c r="R40" s="951">
        <f t="shared" si="54"/>
        <v>0</v>
      </c>
      <c r="S40" s="953"/>
      <c r="T40" s="953"/>
      <c r="U40" s="954"/>
      <c r="V40" s="912"/>
      <c r="W40" s="953"/>
      <c r="X40" s="953"/>
      <c r="Y40" s="1035">
        <f t="shared" si="55"/>
        <v>1</v>
      </c>
      <c r="Z40" s="956">
        <f t="shared" si="56"/>
        <v>1</v>
      </c>
      <c r="AA40" s="1021">
        <f t="shared" si="57"/>
        <v>1</v>
      </c>
      <c r="AB40" s="1022">
        <v>0.1</v>
      </c>
      <c r="AC40" s="1022">
        <v>0</v>
      </c>
      <c r="AD40" s="973">
        <v>0.12</v>
      </c>
      <c r="AE40" s="951">
        <v>0</v>
      </c>
      <c r="AF40" s="951">
        <v>0</v>
      </c>
      <c r="AG40" s="1024">
        <v>0</v>
      </c>
      <c r="AH40" s="1024" t="s">
        <v>2120</v>
      </c>
      <c r="AI40" s="958">
        <v>485294769</v>
      </c>
      <c r="AJ40" s="958">
        <v>0</v>
      </c>
      <c r="AK40" s="958"/>
      <c r="AL40" s="1025" t="e">
        <f t="shared" si="20"/>
        <v>#DIV/0!</v>
      </c>
      <c r="AM40" s="1024" t="s">
        <v>2120</v>
      </c>
      <c r="AN40" s="958">
        <v>468731314</v>
      </c>
      <c r="AO40" s="958"/>
      <c r="AP40" s="958"/>
      <c r="AQ40" s="1026" t="e">
        <f t="shared" si="21"/>
        <v>#DIV/0!</v>
      </c>
      <c r="AR40" s="958">
        <f t="shared" si="50"/>
        <v>0</v>
      </c>
      <c r="AS40" s="1024" t="s">
        <v>2120</v>
      </c>
      <c r="AT40" s="958">
        <v>0</v>
      </c>
      <c r="AU40" s="1024">
        <v>16563455</v>
      </c>
      <c r="AV40" s="1024">
        <v>16425239</v>
      </c>
      <c r="AW40" s="1024"/>
      <c r="AX40" s="1024"/>
      <c r="AY40" s="1027" t="e">
        <f t="shared" si="7"/>
        <v>#DIV/0!</v>
      </c>
      <c r="AZ40" s="1028">
        <v>490000000</v>
      </c>
      <c r="BA40" s="1000">
        <f t="shared" si="22"/>
        <v>485294769</v>
      </c>
      <c r="BB40" s="1035">
        <f t="shared" si="9"/>
        <v>0.99039748775510206</v>
      </c>
      <c r="BC40" s="1035">
        <f t="shared" si="23"/>
        <v>485156553</v>
      </c>
      <c r="BD40" s="1036">
        <f t="shared" si="24"/>
        <v>0.99011541428571426</v>
      </c>
      <c r="BE40" s="1030"/>
      <c r="BF40" s="1030"/>
      <c r="BG40" s="952" t="s">
        <v>1703</v>
      </c>
      <c r="BH40" s="1384" t="s">
        <v>2193</v>
      </c>
    </row>
    <row r="41" spans="1:61" s="908" customFormat="1" ht="47.4" customHeight="1">
      <c r="A41" s="1019" t="s">
        <v>2198</v>
      </c>
      <c r="B41" s="1031" t="s">
        <v>2199</v>
      </c>
      <c r="C41" s="1031" t="s">
        <v>2108</v>
      </c>
      <c r="D41" s="1033">
        <v>0</v>
      </c>
      <c r="E41" s="1033">
        <v>1</v>
      </c>
      <c r="F41" s="1033">
        <v>1</v>
      </c>
      <c r="G41" s="1033">
        <v>1</v>
      </c>
      <c r="H41" s="949">
        <v>0</v>
      </c>
      <c r="I41" s="949">
        <v>1</v>
      </c>
      <c r="J41" s="949">
        <v>1</v>
      </c>
      <c r="K41" s="949">
        <v>1</v>
      </c>
      <c r="L41" s="949"/>
      <c r="M41" s="949"/>
      <c r="N41" s="949"/>
      <c r="O41" s="951">
        <f t="shared" si="53"/>
        <v>0</v>
      </c>
      <c r="P41" s="957">
        <f t="shared" si="53"/>
        <v>1</v>
      </c>
      <c r="Q41" s="973">
        <f t="shared" si="53"/>
        <v>1</v>
      </c>
      <c r="R41" s="951">
        <f t="shared" si="54"/>
        <v>1</v>
      </c>
      <c r="S41" s="953" t="s">
        <v>2200</v>
      </c>
      <c r="T41" s="974">
        <v>45107</v>
      </c>
      <c r="U41" s="912"/>
      <c r="V41" s="912"/>
      <c r="W41" s="953"/>
      <c r="X41" s="975"/>
      <c r="Y41" s="1035">
        <f t="shared" si="55"/>
        <v>3</v>
      </c>
      <c r="Z41" s="956">
        <f t="shared" si="56"/>
        <v>3</v>
      </c>
      <c r="AA41" s="1021">
        <f t="shared" si="57"/>
        <v>1</v>
      </c>
      <c r="AB41" s="1022">
        <v>0.1</v>
      </c>
      <c r="AC41" s="1022">
        <v>0</v>
      </c>
      <c r="AD41" s="973">
        <v>0.12</v>
      </c>
      <c r="AE41" s="1023">
        <v>0.14000000000000001</v>
      </c>
      <c r="AF41" s="1023">
        <v>0.14000000000000001</v>
      </c>
      <c r="AG41" s="1037">
        <v>100000000</v>
      </c>
      <c r="AH41" s="1024" t="s">
        <v>2120</v>
      </c>
      <c r="AI41" s="958">
        <v>98347412</v>
      </c>
      <c r="AJ41" s="958">
        <v>99692062</v>
      </c>
      <c r="AK41" s="958">
        <v>100000000</v>
      </c>
      <c r="AL41" s="1025">
        <f t="shared" si="20"/>
        <v>1</v>
      </c>
      <c r="AM41" s="1024" t="s">
        <v>2120</v>
      </c>
      <c r="AN41" s="958">
        <v>81178105</v>
      </c>
      <c r="AO41" s="958">
        <v>97634559</v>
      </c>
      <c r="AP41" s="958">
        <v>91100000</v>
      </c>
      <c r="AQ41" s="1026">
        <f t="shared" si="21"/>
        <v>0.91100000000000003</v>
      </c>
      <c r="AR41" s="958">
        <f t="shared" si="50"/>
        <v>2057503</v>
      </c>
      <c r="AS41" s="1024" t="s">
        <v>2120</v>
      </c>
      <c r="AT41" s="958">
        <v>0</v>
      </c>
      <c r="AU41" s="1024">
        <v>17169307</v>
      </c>
      <c r="AV41" s="1024">
        <v>16016280</v>
      </c>
      <c r="AW41" s="1024">
        <v>2057503</v>
      </c>
      <c r="AX41" s="1024">
        <v>1755207</v>
      </c>
      <c r="AY41" s="1027">
        <f t="shared" si="7"/>
        <v>58.847016504957708</v>
      </c>
      <c r="AZ41" s="1028">
        <v>300000000</v>
      </c>
      <c r="BA41" s="1000">
        <f t="shared" si="22"/>
        <v>298039474</v>
      </c>
      <c r="BB41" s="973">
        <f t="shared" si="9"/>
        <v>0.99346491333333331</v>
      </c>
      <c r="BC41" s="1029">
        <f t="shared" si="23"/>
        <v>287684151</v>
      </c>
      <c r="BD41" s="973">
        <f t="shared" si="24"/>
        <v>0.95894716999999996</v>
      </c>
      <c r="BE41" s="1030"/>
      <c r="BF41" s="1030"/>
      <c r="BG41" s="952" t="s">
        <v>1703</v>
      </c>
      <c r="BH41" s="1370"/>
    </row>
    <row r="42" spans="1:61" s="908" customFormat="1" ht="51.75" hidden="1" customHeight="1">
      <c r="A42" s="1019" t="s">
        <v>2201</v>
      </c>
      <c r="B42" s="1031" t="s">
        <v>2202</v>
      </c>
      <c r="C42" s="1031" t="s">
        <v>2108</v>
      </c>
      <c r="D42" s="1032">
        <v>1</v>
      </c>
      <c r="E42" s="1032">
        <v>0</v>
      </c>
      <c r="F42" s="1032">
        <v>0</v>
      </c>
      <c r="G42" s="1032">
        <v>0</v>
      </c>
      <c r="H42" s="949">
        <v>0</v>
      </c>
      <c r="I42" s="949">
        <v>0</v>
      </c>
      <c r="J42" s="949"/>
      <c r="K42" s="949"/>
      <c r="L42" s="949">
        <v>1</v>
      </c>
      <c r="M42" s="949"/>
      <c r="N42" s="949"/>
      <c r="O42" s="951">
        <f t="shared" si="53"/>
        <v>1</v>
      </c>
      <c r="P42" s="957">
        <f t="shared" si="53"/>
        <v>0</v>
      </c>
      <c r="Q42" s="951">
        <f t="shared" si="53"/>
        <v>0</v>
      </c>
      <c r="R42" s="951">
        <f t="shared" si="54"/>
        <v>0</v>
      </c>
      <c r="S42" s="952"/>
      <c r="T42" s="953"/>
      <c r="U42" s="954"/>
      <c r="V42" s="912"/>
      <c r="W42" s="953"/>
      <c r="X42" s="953"/>
      <c r="Y42" s="1035">
        <f t="shared" si="55"/>
        <v>1</v>
      </c>
      <c r="Z42" s="956">
        <f t="shared" si="56"/>
        <v>1</v>
      </c>
      <c r="AA42" s="1021">
        <f t="shared" si="57"/>
        <v>1</v>
      </c>
      <c r="AB42" s="1022">
        <v>0.1</v>
      </c>
      <c r="AC42" s="1022">
        <v>0.17</v>
      </c>
      <c r="AD42" s="973">
        <v>0</v>
      </c>
      <c r="AE42" s="951">
        <v>0</v>
      </c>
      <c r="AF42" s="951">
        <v>0</v>
      </c>
      <c r="AG42" s="1024">
        <v>0</v>
      </c>
      <c r="AH42" s="958">
        <v>249668480</v>
      </c>
      <c r="AI42" s="958">
        <v>0</v>
      </c>
      <c r="AJ42" s="958">
        <v>0</v>
      </c>
      <c r="AK42" s="958"/>
      <c r="AL42" s="1025" t="e">
        <f t="shared" si="20"/>
        <v>#DIV/0!</v>
      </c>
      <c r="AM42" s="958">
        <v>37500000</v>
      </c>
      <c r="AN42" s="958">
        <v>0</v>
      </c>
      <c r="AO42" s="958"/>
      <c r="AP42" s="958"/>
      <c r="AQ42" s="1026" t="e">
        <f t="shared" si="21"/>
        <v>#DIV/0!</v>
      </c>
      <c r="AR42" s="958">
        <f t="shared" si="50"/>
        <v>0</v>
      </c>
      <c r="AS42" s="958">
        <v>212168480</v>
      </c>
      <c r="AT42" s="958">
        <v>212168480</v>
      </c>
      <c r="AU42" s="958"/>
      <c r="AV42" s="958"/>
      <c r="AW42" s="958"/>
      <c r="AX42" s="958"/>
      <c r="AY42" s="1027" t="e">
        <f t="shared" si="7"/>
        <v>#DIV/0!</v>
      </c>
      <c r="AZ42" s="1028">
        <v>250000000</v>
      </c>
      <c r="BA42" s="1000">
        <f t="shared" si="22"/>
        <v>249668480</v>
      </c>
      <c r="BB42" s="973">
        <f t="shared" si="9"/>
        <v>0.99867391999999999</v>
      </c>
      <c r="BC42" s="1029">
        <f t="shared" si="23"/>
        <v>249668480</v>
      </c>
      <c r="BD42" s="973">
        <f t="shared" si="24"/>
        <v>0.99867391999999999</v>
      </c>
      <c r="BE42" s="1030"/>
      <c r="BF42" s="1030"/>
      <c r="BG42" s="952" t="s">
        <v>1703</v>
      </c>
      <c r="BH42" s="1370"/>
    </row>
    <row r="43" spans="1:61" s="908" customFormat="1" ht="47.4" customHeight="1">
      <c r="A43" s="1019" t="s">
        <v>2203</v>
      </c>
      <c r="B43" s="1038" t="s">
        <v>2204</v>
      </c>
      <c r="C43" s="1038" t="s">
        <v>2108</v>
      </c>
      <c r="D43" s="1033">
        <v>0</v>
      </c>
      <c r="E43" s="1033">
        <v>1</v>
      </c>
      <c r="F43" s="1033">
        <v>1</v>
      </c>
      <c r="G43" s="1033">
        <v>1</v>
      </c>
      <c r="H43" s="949">
        <v>0</v>
      </c>
      <c r="I43" s="949">
        <v>1</v>
      </c>
      <c r="J43" s="949">
        <v>1</v>
      </c>
      <c r="K43" s="949">
        <v>1</v>
      </c>
      <c r="L43" s="949"/>
      <c r="M43" s="949"/>
      <c r="N43" s="949"/>
      <c r="O43" s="951">
        <f t="shared" si="53"/>
        <v>0</v>
      </c>
      <c r="P43" s="957">
        <f t="shared" si="53"/>
        <v>1</v>
      </c>
      <c r="Q43" s="973">
        <f t="shared" si="53"/>
        <v>1</v>
      </c>
      <c r="R43" s="951">
        <f t="shared" si="54"/>
        <v>1</v>
      </c>
      <c r="S43" s="953" t="s">
        <v>2205</v>
      </c>
      <c r="T43" s="974">
        <v>45107</v>
      </c>
      <c r="U43" s="954"/>
      <c r="V43" s="912"/>
      <c r="W43" s="953"/>
      <c r="X43" s="953"/>
      <c r="Y43" s="1035">
        <f t="shared" si="55"/>
        <v>3</v>
      </c>
      <c r="Z43" s="956">
        <f t="shared" si="56"/>
        <v>3</v>
      </c>
      <c r="AA43" s="1021">
        <f t="shared" si="57"/>
        <v>1</v>
      </c>
      <c r="AB43" s="1022">
        <v>0.1</v>
      </c>
      <c r="AC43" s="1022">
        <v>0</v>
      </c>
      <c r="AD43" s="973">
        <v>0.11</v>
      </c>
      <c r="AE43" s="1023">
        <v>0.14000000000000001</v>
      </c>
      <c r="AF43" s="1023">
        <v>0.14000000000000001</v>
      </c>
      <c r="AG43" s="1024">
        <v>60000000</v>
      </c>
      <c r="AH43" s="1024" t="s">
        <v>2120</v>
      </c>
      <c r="AI43" s="958">
        <v>59068176.200000003</v>
      </c>
      <c r="AJ43" s="958">
        <v>59968774</v>
      </c>
      <c r="AK43" s="958">
        <v>60000000</v>
      </c>
      <c r="AL43" s="1025">
        <f t="shared" si="20"/>
        <v>1</v>
      </c>
      <c r="AM43" s="1024" t="s">
        <v>2120</v>
      </c>
      <c r="AN43" s="958">
        <v>58311282</v>
      </c>
      <c r="AO43" s="958">
        <v>59398402</v>
      </c>
      <c r="AP43" s="958">
        <v>60000000</v>
      </c>
      <c r="AQ43" s="1026">
        <f t="shared" si="21"/>
        <v>1</v>
      </c>
      <c r="AR43" s="958">
        <f t="shared" si="50"/>
        <v>570372</v>
      </c>
      <c r="AS43" s="1024" t="s">
        <v>2120</v>
      </c>
      <c r="AT43" s="1024">
        <v>0</v>
      </c>
      <c r="AU43" s="1024">
        <v>756894.2</v>
      </c>
      <c r="AV43" s="1024">
        <v>729251.2</v>
      </c>
      <c r="AW43" s="1024">
        <v>570372</v>
      </c>
      <c r="AX43" s="1024">
        <v>454716</v>
      </c>
      <c r="AY43" s="1027">
        <f t="shared" si="7"/>
        <v>3.077302181734026</v>
      </c>
      <c r="AZ43" s="1028">
        <v>180000000</v>
      </c>
      <c r="BA43" s="1000">
        <f t="shared" si="22"/>
        <v>179036950.19999999</v>
      </c>
      <c r="BB43" s="973">
        <f t="shared" si="9"/>
        <v>0.99464972333333324</v>
      </c>
      <c r="BC43" s="1029">
        <f t="shared" si="23"/>
        <v>178893651.19999999</v>
      </c>
      <c r="BD43" s="973">
        <f t="shared" si="24"/>
        <v>0.9938536177777777</v>
      </c>
      <c r="BE43" s="1030"/>
      <c r="BF43" s="1030"/>
      <c r="BG43" s="952" t="s">
        <v>1703</v>
      </c>
      <c r="BH43" s="1020" t="s">
        <v>2193</v>
      </c>
    </row>
    <row r="44" spans="1:61" s="908" customFormat="1" ht="47.4" customHeight="1">
      <c r="A44" s="936" t="s">
        <v>2206</v>
      </c>
      <c r="B44" s="937"/>
      <c r="C44" s="937"/>
      <c r="D44" s="938"/>
      <c r="E44" s="938"/>
      <c r="F44" s="938"/>
      <c r="G44" s="938"/>
      <c r="H44" s="938"/>
      <c r="I44" s="938"/>
      <c r="J44" s="938"/>
      <c r="K44" s="938"/>
      <c r="L44" s="938"/>
      <c r="M44" s="938"/>
      <c r="N44" s="938"/>
      <c r="O44" s="939">
        <f>+SUMPRODUCT(O45:O47,AC45:AC47)</f>
        <v>1</v>
      </c>
      <c r="P44" s="939">
        <f t="shared" ref="P44:R44" si="58">+SUMPRODUCT(P45:P47,AD45:AD47)</f>
        <v>1</v>
      </c>
      <c r="Q44" s="939">
        <f t="shared" si="58"/>
        <v>1</v>
      </c>
      <c r="R44" s="939">
        <f t="shared" si="58"/>
        <v>1</v>
      </c>
      <c r="S44" s="937"/>
      <c r="T44" s="937"/>
      <c r="U44" s="1015"/>
      <c r="V44" s="1015"/>
      <c r="W44" s="1015"/>
      <c r="X44" s="937"/>
      <c r="Y44" s="940"/>
      <c r="Z44" s="1039">
        <f>SUM(H44:M44)</f>
        <v>0</v>
      </c>
      <c r="AA44" s="1003">
        <f>+SUMPRODUCT(AA45:AA47,AB45:AB47)</f>
        <v>1</v>
      </c>
      <c r="AB44" s="1017">
        <v>0.5</v>
      </c>
      <c r="AC44" s="1017">
        <v>0.5</v>
      </c>
      <c r="AD44" s="1017">
        <v>0.5</v>
      </c>
      <c r="AE44" s="939">
        <v>0.5</v>
      </c>
      <c r="AF44" s="939">
        <v>0.5</v>
      </c>
      <c r="AG44" s="1016">
        <f>+SUM(AG45:AG47)</f>
        <v>12170370369</v>
      </c>
      <c r="AH44" s="1016">
        <f>SUM(AH45:AH47)</f>
        <v>576557090</v>
      </c>
      <c r="AI44" s="1016">
        <f>SUM(AI45:AI47)</f>
        <v>16535533312</v>
      </c>
      <c r="AJ44" s="1016">
        <f>SUM(AJ45:AJ47)</f>
        <v>12639190545</v>
      </c>
      <c r="AK44" s="1016">
        <f>+SUM(AK45:AK47)</f>
        <v>12160435256.1</v>
      </c>
      <c r="AL44" s="1040">
        <f t="shared" si="20"/>
        <v>0.99918366388213575</v>
      </c>
      <c r="AM44" s="1016">
        <f>SUM(AM45:AM47)</f>
        <v>51300000</v>
      </c>
      <c r="AN44" s="1016">
        <f t="shared" ref="AN44:AX44" si="59">SUM(AN45:AN47)</f>
        <v>6910273651</v>
      </c>
      <c r="AO44" s="1016">
        <f t="shared" si="59"/>
        <v>6060374350</v>
      </c>
      <c r="AP44" s="1016">
        <f>+SUM(AP45:AP47)</f>
        <v>3319822781</v>
      </c>
      <c r="AQ44" s="1041">
        <f t="shared" si="21"/>
        <v>0.27277910863387955</v>
      </c>
      <c r="AR44" s="1042">
        <f t="shared" si="59"/>
        <v>6578816195</v>
      </c>
      <c r="AS44" s="1016">
        <f t="shared" si="59"/>
        <v>525257090</v>
      </c>
      <c r="AT44" s="1016">
        <f t="shared" si="59"/>
        <v>40350000</v>
      </c>
      <c r="AU44" s="1016">
        <f t="shared" si="59"/>
        <v>9625259661</v>
      </c>
      <c r="AV44" s="1016">
        <f t="shared" si="59"/>
        <v>273052976</v>
      </c>
      <c r="AW44" s="1016">
        <f t="shared" si="59"/>
        <v>6578816195</v>
      </c>
      <c r="AX44" s="1016">
        <f t="shared" si="59"/>
        <v>6150797304</v>
      </c>
      <c r="AY44" s="1043">
        <f t="shared" si="7"/>
        <v>0</v>
      </c>
      <c r="AZ44" s="1044">
        <f t="shared" ref="AZ44" si="60">SUM(AZ45:AZ47)</f>
        <v>52503849256</v>
      </c>
      <c r="BA44" s="1016">
        <f t="shared" si="22"/>
        <v>41911716203.099998</v>
      </c>
      <c r="BB44" s="1045">
        <f t="shared" si="9"/>
        <v>0.79825987612347182</v>
      </c>
      <c r="BC44" s="1018">
        <f t="shared" si="23"/>
        <v>22805971062</v>
      </c>
      <c r="BD44" s="1017">
        <f t="shared" si="24"/>
        <v>0.43436760133151181</v>
      </c>
      <c r="BE44" s="1042"/>
      <c r="BF44" s="945"/>
      <c r="BG44" s="945"/>
      <c r="BH44" s="945"/>
      <c r="BI44" s="908" t="s">
        <v>2103</v>
      </c>
    </row>
    <row r="45" spans="1:61" s="908" customFormat="1" ht="47.4" customHeight="1">
      <c r="A45" s="994" t="s">
        <v>2207</v>
      </c>
      <c r="B45" s="948" t="s">
        <v>2208</v>
      </c>
      <c r="C45" s="948" t="s">
        <v>2108</v>
      </c>
      <c r="D45" s="1046">
        <v>1</v>
      </c>
      <c r="E45" s="1046">
        <v>1</v>
      </c>
      <c r="F45" s="1046">
        <v>1</v>
      </c>
      <c r="G45" s="1046">
        <v>1</v>
      </c>
      <c r="H45" s="949">
        <v>1</v>
      </c>
      <c r="I45" s="949">
        <v>1</v>
      </c>
      <c r="J45" s="981">
        <v>1</v>
      </c>
      <c r="K45" s="981">
        <v>1</v>
      </c>
      <c r="L45" s="949"/>
      <c r="M45" s="949"/>
      <c r="N45" s="949"/>
      <c r="O45" s="951">
        <f t="shared" ref="O45:Q47" si="61">+IFERROR(IF((H45+L45)/D45&gt;=100%,100%,(H45+L45)/D45),0)</f>
        <v>1</v>
      </c>
      <c r="P45" s="957">
        <f t="shared" si="61"/>
        <v>1</v>
      </c>
      <c r="Q45" s="973">
        <f t="shared" si="61"/>
        <v>1</v>
      </c>
      <c r="R45" s="951">
        <f t="shared" ref="R45:R47" si="62">+IFERROR(IF(K45/G45&gt;=100%,100%,K45/G45),0)</f>
        <v>1</v>
      </c>
      <c r="S45" s="952" t="s">
        <v>2209</v>
      </c>
      <c r="T45" s="974">
        <v>45107</v>
      </c>
      <c r="U45" s="984"/>
      <c r="V45" s="985"/>
      <c r="W45" s="952"/>
      <c r="X45" s="952"/>
      <c r="Y45" s="1035">
        <f t="shared" ref="Y45:Y47" si="63">SUM(D45:G45)</f>
        <v>4</v>
      </c>
      <c r="Z45" s="956">
        <f t="shared" ref="Z45:Z47" si="64">SUM(H45:N45)</f>
        <v>4</v>
      </c>
      <c r="AA45" s="1021">
        <f>IF(Z45/Y45&gt;=100%,100%,Z45/Y45)</f>
        <v>1</v>
      </c>
      <c r="AB45" s="1047">
        <v>0.2</v>
      </c>
      <c r="AC45" s="1047">
        <v>0.4</v>
      </c>
      <c r="AD45" s="973">
        <v>0.2</v>
      </c>
      <c r="AE45" s="951">
        <v>0.2</v>
      </c>
      <c r="AF45" s="951">
        <v>0.2</v>
      </c>
      <c r="AG45" s="1037">
        <v>95000000</v>
      </c>
      <c r="AH45" s="958">
        <v>91650000</v>
      </c>
      <c r="AI45" s="1037">
        <v>120000000</v>
      </c>
      <c r="AJ45" s="1037">
        <v>251567304</v>
      </c>
      <c r="AK45" s="1037">
        <v>94960000</v>
      </c>
      <c r="AL45" s="1025">
        <f t="shared" si="20"/>
        <v>0.99957894736842101</v>
      </c>
      <c r="AM45" s="958">
        <v>51300000</v>
      </c>
      <c r="AN45" s="1037">
        <v>120000000</v>
      </c>
      <c r="AO45" s="1037">
        <v>209824030</v>
      </c>
      <c r="AP45" s="1037">
        <v>88660000</v>
      </c>
      <c r="AQ45" s="1026">
        <f t="shared" si="21"/>
        <v>0.93326315789473679</v>
      </c>
      <c r="AR45" s="958">
        <f t="shared" si="50"/>
        <v>41743274</v>
      </c>
      <c r="AS45" s="958">
        <v>40350000</v>
      </c>
      <c r="AT45" s="958">
        <v>40350000</v>
      </c>
      <c r="AU45" s="958"/>
      <c r="AV45" s="958"/>
      <c r="AW45" s="958">
        <v>41743274</v>
      </c>
      <c r="AX45" s="958">
        <v>41478478</v>
      </c>
      <c r="AY45" s="1027">
        <f t="shared" si="7"/>
        <v>1.089315610462179E-2</v>
      </c>
      <c r="AZ45" s="1048">
        <v>570000000</v>
      </c>
      <c r="BA45" s="1000">
        <f t="shared" si="22"/>
        <v>558177304</v>
      </c>
      <c r="BB45" s="973">
        <f t="shared" si="9"/>
        <v>0.97925842807017549</v>
      </c>
      <c r="BC45" s="1029">
        <f t="shared" si="23"/>
        <v>551612508</v>
      </c>
      <c r="BD45" s="973">
        <f t="shared" si="24"/>
        <v>0.96774124210526313</v>
      </c>
      <c r="BE45" s="1030"/>
      <c r="BF45" s="1030"/>
      <c r="BG45" s="953" t="s">
        <v>161</v>
      </c>
      <c r="BH45" s="1002" t="s">
        <v>2193</v>
      </c>
      <c r="BI45" s="908" t="s">
        <v>2103</v>
      </c>
    </row>
    <row r="46" spans="1:61" s="908" customFormat="1" ht="55.5" hidden="1" customHeight="1">
      <c r="A46" s="994" t="s">
        <v>2210</v>
      </c>
      <c r="B46" s="948" t="s">
        <v>2211</v>
      </c>
      <c r="C46" s="948" t="s">
        <v>2108</v>
      </c>
      <c r="D46" s="1046">
        <v>1</v>
      </c>
      <c r="E46" s="1046">
        <v>2</v>
      </c>
      <c r="F46" s="1046">
        <v>1</v>
      </c>
      <c r="G46" s="1046">
        <v>1</v>
      </c>
      <c r="H46" s="949">
        <v>0</v>
      </c>
      <c r="I46" s="949">
        <v>2</v>
      </c>
      <c r="J46" s="981">
        <v>1</v>
      </c>
      <c r="K46" s="981">
        <v>1</v>
      </c>
      <c r="L46" s="949">
        <v>1</v>
      </c>
      <c r="M46" s="949"/>
      <c r="N46" s="949"/>
      <c r="O46" s="951">
        <f t="shared" si="61"/>
        <v>1</v>
      </c>
      <c r="P46" s="957">
        <f t="shared" si="61"/>
        <v>1</v>
      </c>
      <c r="Q46" s="973">
        <f t="shared" si="61"/>
        <v>1</v>
      </c>
      <c r="R46" s="951">
        <f t="shared" si="62"/>
        <v>1</v>
      </c>
      <c r="S46" s="953" t="s">
        <v>2212</v>
      </c>
      <c r="T46" s="974">
        <v>45107</v>
      </c>
      <c r="U46" s="984" t="s">
        <v>2153</v>
      </c>
      <c r="V46" s="985" t="s">
        <v>2213</v>
      </c>
      <c r="W46" s="952"/>
      <c r="X46" s="952"/>
      <c r="Y46" s="1035">
        <f t="shared" si="63"/>
        <v>5</v>
      </c>
      <c r="Z46" s="956">
        <f t="shared" si="64"/>
        <v>5</v>
      </c>
      <c r="AA46" s="1021">
        <f t="shared" ref="AA46:AA47" si="65">IF(Z46/Y46&gt;=100%,100%,Z46/Y46)</f>
        <v>1</v>
      </c>
      <c r="AB46" s="1047">
        <v>0.4</v>
      </c>
      <c r="AC46" s="1047">
        <v>0.6</v>
      </c>
      <c r="AD46" s="973">
        <v>0.4</v>
      </c>
      <c r="AE46" s="951">
        <v>0.4</v>
      </c>
      <c r="AF46" s="951">
        <v>0.4</v>
      </c>
      <c r="AG46" s="1049">
        <v>0</v>
      </c>
      <c r="AH46" s="958">
        <v>484907090</v>
      </c>
      <c r="AI46" s="1037">
        <f>16415533312/2</f>
        <v>8207766656</v>
      </c>
      <c r="AJ46" s="1037">
        <v>0</v>
      </c>
      <c r="AK46" s="1037"/>
      <c r="AL46" s="1025" t="e">
        <f t="shared" si="20"/>
        <v>#DIV/0!</v>
      </c>
      <c r="AM46" s="958">
        <v>0</v>
      </c>
      <c r="AN46" s="1037">
        <f>6790273651/2</f>
        <v>3395136825.5</v>
      </c>
      <c r="AO46" s="1037"/>
      <c r="AP46" s="1037"/>
      <c r="AQ46" s="1026" t="e">
        <f t="shared" si="21"/>
        <v>#DIV/0!</v>
      </c>
      <c r="AR46" s="958">
        <f t="shared" si="50"/>
        <v>0</v>
      </c>
      <c r="AS46" s="958">
        <f>484907090/2</f>
        <v>242453545</v>
      </c>
      <c r="AT46" s="958">
        <v>0</v>
      </c>
      <c r="AU46" s="958"/>
      <c r="AV46" s="958">
        <v>0</v>
      </c>
      <c r="AW46" s="958"/>
      <c r="AX46" s="958"/>
      <c r="AY46" s="1027" t="e">
        <f t="shared" si="7"/>
        <v>#DIV/0!</v>
      </c>
      <c r="AZ46" s="1050">
        <v>18374726433</v>
      </c>
      <c r="BA46" s="1000">
        <f t="shared" si="22"/>
        <v>8692673746</v>
      </c>
      <c r="BB46" s="973">
        <f t="shared" si="9"/>
        <v>0.4730777232355653</v>
      </c>
      <c r="BC46" s="1029">
        <f t="shared" si="23"/>
        <v>3395136825.5</v>
      </c>
      <c r="BD46" s="973">
        <f t="shared" si="24"/>
        <v>0.18477210193467264</v>
      </c>
      <c r="BE46" s="1030"/>
      <c r="BF46" s="1030"/>
      <c r="BG46" s="953" t="s">
        <v>1703</v>
      </c>
      <c r="BH46" s="1381" t="s">
        <v>2214</v>
      </c>
      <c r="BI46" s="908" t="s">
        <v>2103</v>
      </c>
    </row>
    <row r="47" spans="1:61" s="908" customFormat="1" ht="47.4" customHeight="1">
      <c r="A47" s="994" t="s">
        <v>1860</v>
      </c>
      <c r="B47" s="948" t="s">
        <v>2215</v>
      </c>
      <c r="C47" s="980" t="s">
        <v>2108</v>
      </c>
      <c r="D47" s="1046">
        <v>0</v>
      </c>
      <c r="E47" s="1046">
        <v>2</v>
      </c>
      <c r="F47" s="1046">
        <v>2</v>
      </c>
      <c r="G47" s="1046">
        <v>1</v>
      </c>
      <c r="H47" s="949">
        <v>0</v>
      </c>
      <c r="I47" s="949">
        <v>2</v>
      </c>
      <c r="J47" s="981">
        <v>2</v>
      </c>
      <c r="K47" s="981">
        <v>1</v>
      </c>
      <c r="L47" s="949"/>
      <c r="M47" s="949"/>
      <c r="N47" s="949"/>
      <c r="O47" s="951">
        <f t="shared" si="61"/>
        <v>0</v>
      </c>
      <c r="P47" s="957">
        <f t="shared" si="61"/>
        <v>1</v>
      </c>
      <c r="Q47" s="973">
        <f t="shared" si="61"/>
        <v>1</v>
      </c>
      <c r="R47" s="951">
        <f t="shared" si="62"/>
        <v>1</v>
      </c>
      <c r="S47" s="953" t="s">
        <v>2216</v>
      </c>
      <c r="T47" s="953"/>
      <c r="U47" s="912"/>
      <c r="V47" s="912"/>
      <c r="W47" s="953"/>
      <c r="X47" s="976"/>
      <c r="Y47" s="956">
        <f t="shared" si="63"/>
        <v>5</v>
      </c>
      <c r="Z47" s="956">
        <f t="shared" si="64"/>
        <v>5</v>
      </c>
      <c r="AA47" s="957">
        <f t="shared" si="65"/>
        <v>1</v>
      </c>
      <c r="AB47" s="1047">
        <v>0.4</v>
      </c>
      <c r="AC47" s="1047">
        <v>0</v>
      </c>
      <c r="AD47" s="951">
        <v>0.4</v>
      </c>
      <c r="AE47" s="951">
        <v>0.4</v>
      </c>
      <c r="AF47" s="951">
        <v>0.4</v>
      </c>
      <c r="AG47" s="1049">
        <v>12075370369</v>
      </c>
      <c r="AH47" s="958">
        <v>0</v>
      </c>
      <c r="AI47" s="987">
        <f>16415533312/2</f>
        <v>8207766656</v>
      </c>
      <c r="AJ47" s="987">
        <v>12387623241</v>
      </c>
      <c r="AK47" s="987">
        <v>12065475256.1</v>
      </c>
      <c r="AL47" s="959">
        <f t="shared" si="20"/>
        <v>0.99918055408673823</v>
      </c>
      <c r="AM47" s="958">
        <v>0</v>
      </c>
      <c r="AN47" s="987">
        <f>6790273651/2</f>
        <v>3395136825.5</v>
      </c>
      <c r="AO47" s="987">
        <v>5850550320</v>
      </c>
      <c r="AP47" s="987">
        <v>3231162781</v>
      </c>
      <c r="AQ47" s="971">
        <f t="shared" si="21"/>
        <v>0.26758291317466093</v>
      </c>
      <c r="AR47" s="958">
        <f t="shared" si="50"/>
        <v>6537072921</v>
      </c>
      <c r="AS47" s="958">
        <f>484907090/2</f>
        <v>242453545</v>
      </c>
      <c r="AT47" s="958">
        <v>0</v>
      </c>
      <c r="AU47" s="958">
        <v>9625259661</v>
      </c>
      <c r="AV47" s="958">
        <v>273052976</v>
      </c>
      <c r="AW47" s="958">
        <v>6537072921</v>
      </c>
      <c r="AX47" s="958">
        <v>6109318826</v>
      </c>
      <c r="AY47" s="999">
        <f t="shared" si="7"/>
        <v>6.345114778627081E-3</v>
      </c>
      <c r="AZ47" s="964">
        <v>33559122823</v>
      </c>
      <c r="BA47" s="1000">
        <f t="shared" si="22"/>
        <v>32660865153.099998</v>
      </c>
      <c r="BB47" s="956">
        <f t="shared" si="9"/>
        <v>0.97323357721125014</v>
      </c>
      <c r="BC47" s="956">
        <f t="shared" si="23"/>
        <v>18859221728.5</v>
      </c>
      <c r="BD47" s="1051">
        <f t="shared" si="24"/>
        <v>0.56197004397190886</v>
      </c>
      <c r="BE47" s="969"/>
      <c r="BF47" s="969"/>
      <c r="BG47" s="953" t="s">
        <v>697</v>
      </c>
      <c r="BH47" s="1370"/>
      <c r="BI47" s="908" t="s">
        <v>2103</v>
      </c>
    </row>
    <row r="48" spans="1:61" s="935" customFormat="1" ht="47.4" customHeight="1">
      <c r="A48" s="925" t="s">
        <v>2217</v>
      </c>
      <c r="B48" s="926"/>
      <c r="C48" s="926"/>
      <c r="D48" s="927"/>
      <c r="E48" s="927"/>
      <c r="F48" s="927"/>
      <c r="G48" s="927"/>
      <c r="H48" s="927"/>
      <c r="I48" s="927"/>
      <c r="J48" s="927"/>
      <c r="K48" s="927"/>
      <c r="L48" s="927"/>
      <c r="M48" s="927"/>
      <c r="N48" s="927"/>
      <c r="O48" s="933">
        <f>+(O49*AC49)</f>
        <v>1</v>
      </c>
      <c r="P48" s="933">
        <f t="shared" ref="P48:R48" si="66">+(P49*AD49)</f>
        <v>1</v>
      </c>
      <c r="Q48" s="933">
        <f t="shared" si="66"/>
        <v>1</v>
      </c>
      <c r="R48" s="933">
        <f t="shared" si="66"/>
        <v>1</v>
      </c>
      <c r="S48" s="926"/>
      <c r="T48" s="926"/>
      <c r="U48" s="1008"/>
      <c r="V48" s="1008"/>
      <c r="W48" s="1008"/>
      <c r="X48" s="926"/>
      <c r="Y48" s="929"/>
      <c r="Z48" s="929"/>
      <c r="AA48" s="1052">
        <f>+(AA49*AB49)</f>
        <v>1</v>
      </c>
      <c r="AB48" s="928">
        <v>0.1</v>
      </c>
      <c r="AC48" s="928">
        <v>0.1</v>
      </c>
      <c r="AD48" s="928">
        <v>0.1</v>
      </c>
      <c r="AE48" s="928">
        <v>0.1</v>
      </c>
      <c r="AF48" s="928">
        <v>0.1</v>
      </c>
      <c r="AG48" s="926">
        <f>+AG49</f>
        <v>39157015096</v>
      </c>
      <c r="AH48" s="1053">
        <f>+AH49</f>
        <v>38574898240.900002</v>
      </c>
      <c r="AI48" s="926">
        <f>+AI49</f>
        <v>32549790015.5</v>
      </c>
      <c r="AJ48" s="926">
        <f>+AJ49</f>
        <v>37239673326</v>
      </c>
      <c r="AK48" s="926">
        <f>+AK49</f>
        <v>39157015096</v>
      </c>
      <c r="AL48" s="931">
        <f t="shared" si="20"/>
        <v>1</v>
      </c>
      <c r="AM48" s="1053">
        <f>+AM49</f>
        <v>31071162272</v>
      </c>
      <c r="AN48" s="926">
        <f>+AN49</f>
        <v>32549790015.5</v>
      </c>
      <c r="AO48" s="926">
        <f>+AO49</f>
        <v>37205622885</v>
      </c>
      <c r="AP48" s="926">
        <f>+AP49</f>
        <v>37690375505</v>
      </c>
      <c r="AQ48" s="933">
        <f t="shared" si="21"/>
        <v>0.96254465292095714</v>
      </c>
      <c r="AR48" s="926">
        <f t="shared" ref="AR48:AX48" si="67">+AR49</f>
        <v>34050441</v>
      </c>
      <c r="AS48" s="926">
        <f t="shared" si="67"/>
        <v>7503735968.8999996</v>
      </c>
      <c r="AT48" s="926">
        <f t="shared" si="67"/>
        <v>6580131258.8800001</v>
      </c>
      <c r="AU48" s="926">
        <f t="shared" si="67"/>
        <v>0</v>
      </c>
      <c r="AV48" s="926">
        <f t="shared" si="67"/>
        <v>0</v>
      </c>
      <c r="AW48" s="926">
        <f t="shared" si="67"/>
        <v>34050441</v>
      </c>
      <c r="AX48" s="926">
        <f t="shared" si="67"/>
        <v>33658162</v>
      </c>
      <c r="AY48" s="934">
        <f t="shared" si="7"/>
        <v>0</v>
      </c>
      <c r="AZ48" s="1009">
        <f t="shared" ref="AZ48" si="68">+AZ49</f>
        <v>149423987738</v>
      </c>
      <c r="BA48" s="926">
        <f t="shared" si="22"/>
        <v>147521376678.39999</v>
      </c>
      <c r="BB48" s="928">
        <f t="shared" si="9"/>
        <v>0.98726703062605958</v>
      </c>
      <c r="BC48" s="1010">
        <f t="shared" si="23"/>
        <v>145130740098.38</v>
      </c>
      <c r="BD48" s="928">
        <f t="shared" si="24"/>
        <v>0.9712680159015179</v>
      </c>
      <c r="BE48" s="926"/>
      <c r="BF48" s="926" t="s">
        <v>1698</v>
      </c>
      <c r="BG48" s="926"/>
      <c r="BH48" s="926"/>
    </row>
    <row r="49" spans="1:64" s="908" customFormat="1" ht="47.4" customHeight="1">
      <c r="A49" s="936" t="s">
        <v>2218</v>
      </c>
      <c r="B49" s="937"/>
      <c r="C49" s="937"/>
      <c r="D49" s="938"/>
      <c r="E49" s="938"/>
      <c r="F49" s="938"/>
      <c r="G49" s="938"/>
      <c r="H49" s="938"/>
      <c r="I49" s="938"/>
      <c r="J49" s="938"/>
      <c r="K49" s="938"/>
      <c r="L49" s="938"/>
      <c r="M49" s="938"/>
      <c r="N49" s="938"/>
      <c r="O49" s="939">
        <f>+SUMPRODUCT(O50:O54,AC50:AC54)</f>
        <v>1</v>
      </c>
      <c r="P49" s="939">
        <f t="shared" ref="P49:R49" si="69">+SUMPRODUCT(P50:P54,AD50:AD54)</f>
        <v>1</v>
      </c>
      <c r="Q49" s="939">
        <f t="shared" si="69"/>
        <v>1</v>
      </c>
      <c r="R49" s="939">
        <f t="shared" si="69"/>
        <v>1</v>
      </c>
      <c r="S49" s="937"/>
      <c r="T49" s="937"/>
      <c r="U49" s="1015"/>
      <c r="V49" s="1015"/>
      <c r="W49" s="1015"/>
      <c r="X49" s="937"/>
      <c r="Y49" s="940"/>
      <c r="Z49" s="1039"/>
      <c r="AA49" s="1003">
        <f>+SUMPRODUCT(AA50:AA54,AB50:AB54)</f>
        <v>1</v>
      </c>
      <c r="AB49" s="1017">
        <v>1</v>
      </c>
      <c r="AC49" s="1017">
        <v>1</v>
      </c>
      <c r="AD49" s="1017">
        <v>1</v>
      </c>
      <c r="AE49" s="939">
        <v>1</v>
      </c>
      <c r="AF49" s="939">
        <v>1</v>
      </c>
      <c r="AG49" s="1016">
        <f>SUM(AG50:AG54)</f>
        <v>39157015096</v>
      </c>
      <c r="AH49" s="1054">
        <f>SUM(AH50:AH54)</f>
        <v>38574898240.900002</v>
      </c>
      <c r="AI49" s="1016">
        <f>SUM(AI50:AI54)</f>
        <v>32549790015.5</v>
      </c>
      <c r="AJ49" s="1016">
        <f>SUM(AJ50:AJ54)</f>
        <v>37239673326</v>
      </c>
      <c r="AK49" s="1016">
        <f>SUM(AK50:AK54)</f>
        <v>39157015096</v>
      </c>
      <c r="AL49" s="1040">
        <f t="shared" si="20"/>
        <v>1</v>
      </c>
      <c r="AM49" s="1054">
        <f>SUM(AM50:AM54)</f>
        <v>31071162272</v>
      </c>
      <c r="AN49" s="1016">
        <f>SUM(AN50:AN54)</f>
        <v>32549790015.5</v>
      </c>
      <c r="AO49" s="1016">
        <f>SUM(AO50:AO54)</f>
        <v>37205622885</v>
      </c>
      <c r="AP49" s="1016">
        <f>SUM(AP50:AP54)</f>
        <v>37690375505</v>
      </c>
      <c r="AQ49" s="1045">
        <f t="shared" si="21"/>
        <v>0.96254465292095714</v>
      </c>
      <c r="AR49" s="1042">
        <f t="shared" ref="AR49:AX49" si="70">SUM(AR50:AR54)</f>
        <v>34050441</v>
      </c>
      <c r="AS49" s="1016">
        <f t="shared" si="70"/>
        <v>7503735968.8999996</v>
      </c>
      <c r="AT49" s="1016">
        <f t="shared" si="70"/>
        <v>6580131258.8800001</v>
      </c>
      <c r="AU49" s="1016">
        <f t="shared" si="70"/>
        <v>0</v>
      </c>
      <c r="AV49" s="1016">
        <f t="shared" si="70"/>
        <v>0</v>
      </c>
      <c r="AW49" s="1016">
        <f t="shared" si="70"/>
        <v>34050441</v>
      </c>
      <c r="AX49" s="1016">
        <f t="shared" si="70"/>
        <v>33658162</v>
      </c>
      <c r="AY49" s="1043">
        <f t="shared" si="7"/>
        <v>179.41966819166893</v>
      </c>
      <c r="AZ49" s="1044">
        <f t="shared" ref="AZ49" si="71">SUM(AZ50:AZ54)</f>
        <v>149423987738</v>
      </c>
      <c r="BA49" s="1016">
        <f t="shared" si="22"/>
        <v>147521376678.39999</v>
      </c>
      <c r="BB49" s="1017">
        <f t="shared" si="9"/>
        <v>0.98726703062605958</v>
      </c>
      <c r="BC49" s="1018">
        <f t="shared" si="23"/>
        <v>145130740098.38</v>
      </c>
      <c r="BD49" s="1017">
        <f t="shared" si="24"/>
        <v>0.9712680159015179</v>
      </c>
      <c r="BE49" s="1042"/>
      <c r="BF49" s="945"/>
      <c r="BG49" s="945"/>
      <c r="BH49" s="945"/>
    </row>
    <row r="50" spans="1:64" s="908" customFormat="1" ht="55.5" hidden="1" customHeight="1">
      <c r="A50" s="947" t="s">
        <v>1938</v>
      </c>
      <c r="B50" s="948" t="s">
        <v>2219</v>
      </c>
      <c r="C50" s="948" t="s">
        <v>2108</v>
      </c>
      <c r="D50" s="1055">
        <v>0</v>
      </c>
      <c r="E50" s="1055">
        <v>0</v>
      </c>
      <c r="F50" s="1055">
        <v>1</v>
      </c>
      <c r="G50" s="1055">
        <v>0</v>
      </c>
      <c r="H50" s="949">
        <v>0</v>
      </c>
      <c r="I50" s="949" t="s">
        <v>1918</v>
      </c>
      <c r="J50" s="949">
        <v>0</v>
      </c>
      <c r="K50" s="949"/>
      <c r="L50" s="949"/>
      <c r="M50" s="949"/>
      <c r="N50" s="949">
        <v>1</v>
      </c>
      <c r="O50" s="951">
        <f t="shared" ref="O50:Q54" si="72">+IFERROR(IF((H50+L50)/D50&gt;=100%,100%,(H50+L50)/D50),0)</f>
        <v>0</v>
      </c>
      <c r="P50" s="957">
        <f t="shared" si="72"/>
        <v>0</v>
      </c>
      <c r="Q50" s="973">
        <f t="shared" si="72"/>
        <v>1</v>
      </c>
      <c r="R50" s="951">
        <f t="shared" ref="R50:R54" si="73">+IFERROR(IF(K50/G50&gt;=100%,100%,K50/G50),0)</f>
        <v>0</v>
      </c>
      <c r="T50" s="953"/>
      <c r="U50" s="954"/>
      <c r="V50" s="912"/>
      <c r="W50" s="953"/>
      <c r="X50" s="953"/>
      <c r="Y50" s="1035">
        <f t="shared" ref="Y50:Y54" si="74">SUM(D50:G50)</f>
        <v>1</v>
      </c>
      <c r="Z50" s="956">
        <f t="shared" ref="Z50:Z54" si="75">SUM(H50:N50)</f>
        <v>1</v>
      </c>
      <c r="AA50" s="1021">
        <f t="shared" ref="AA50:AA54" si="76">IF(Z50/Y50&gt;=100%,100%,Z50/Y50)</f>
        <v>1</v>
      </c>
      <c r="AB50" s="996">
        <v>0.2</v>
      </c>
      <c r="AC50" s="996">
        <v>0</v>
      </c>
      <c r="AD50" s="973">
        <v>0</v>
      </c>
      <c r="AE50" s="1023">
        <v>0.27</v>
      </c>
      <c r="AF50" s="1023">
        <v>0</v>
      </c>
      <c r="AG50" s="958">
        <v>0</v>
      </c>
      <c r="AH50" s="958">
        <v>0</v>
      </c>
      <c r="AI50" s="958">
        <v>0</v>
      </c>
      <c r="AJ50" s="958">
        <v>475405273</v>
      </c>
      <c r="AK50" s="958">
        <v>0</v>
      </c>
      <c r="AL50" s="1025" t="e">
        <f t="shared" si="20"/>
        <v>#DIV/0!</v>
      </c>
      <c r="AM50" s="958">
        <v>0</v>
      </c>
      <c r="AN50" s="958">
        <v>0</v>
      </c>
      <c r="AO50" s="958">
        <v>441354832</v>
      </c>
      <c r="AP50" s="958"/>
      <c r="AQ50" s="1026" t="e">
        <f t="shared" si="21"/>
        <v>#DIV/0!</v>
      </c>
      <c r="AR50" s="958">
        <f t="shared" ref="AR50:AR54" si="77">+AJ50-AO50</f>
        <v>34050441</v>
      </c>
      <c r="AS50" s="958">
        <v>0</v>
      </c>
      <c r="AT50" s="958">
        <v>0</v>
      </c>
      <c r="AU50" s="958"/>
      <c r="AV50" s="958"/>
      <c r="AW50" s="958">
        <v>34050441</v>
      </c>
      <c r="AX50" s="958">
        <v>33658162</v>
      </c>
      <c r="AY50" s="1027">
        <f t="shared" si="7"/>
        <v>0.98847947373133871</v>
      </c>
      <c r="AZ50" s="1028">
        <v>500000000</v>
      </c>
      <c r="BA50" s="1000">
        <f t="shared" si="22"/>
        <v>475405273</v>
      </c>
      <c r="BB50" s="973">
        <f t="shared" si="9"/>
        <v>0.95081054600000003</v>
      </c>
      <c r="BC50" s="1029">
        <f t="shared" si="23"/>
        <v>475012994</v>
      </c>
      <c r="BD50" s="973">
        <f t="shared" si="24"/>
        <v>0.95002598800000004</v>
      </c>
      <c r="BE50" s="1030"/>
      <c r="BF50" s="969"/>
      <c r="BG50" s="953" t="s">
        <v>697</v>
      </c>
      <c r="BH50" s="1007" t="s">
        <v>2220</v>
      </c>
    </row>
    <row r="51" spans="1:64" s="908" customFormat="1" ht="47.4" customHeight="1">
      <c r="A51" s="947" t="s">
        <v>1939</v>
      </c>
      <c r="B51" s="948" t="s">
        <v>2221</v>
      </c>
      <c r="C51" s="980" t="s">
        <v>2108</v>
      </c>
      <c r="D51" s="1033">
        <v>1</v>
      </c>
      <c r="E51" s="1033">
        <v>0</v>
      </c>
      <c r="F51" s="1033">
        <v>0</v>
      </c>
      <c r="G51" s="1033">
        <v>1</v>
      </c>
      <c r="H51" s="949">
        <v>0</v>
      </c>
      <c r="I51" s="949" t="s">
        <v>1918</v>
      </c>
      <c r="J51" s="949"/>
      <c r="K51" s="949">
        <v>1</v>
      </c>
      <c r="L51" s="949">
        <v>1</v>
      </c>
      <c r="M51" s="949"/>
      <c r="N51" s="949"/>
      <c r="O51" s="951">
        <f t="shared" si="72"/>
        <v>1</v>
      </c>
      <c r="P51" s="957">
        <f t="shared" si="72"/>
        <v>0</v>
      </c>
      <c r="Q51" s="951">
        <f t="shared" si="72"/>
        <v>0</v>
      </c>
      <c r="R51" s="951">
        <f t="shared" si="73"/>
        <v>1</v>
      </c>
      <c r="S51" s="988" t="s">
        <v>2222</v>
      </c>
      <c r="T51" s="974">
        <v>45107</v>
      </c>
      <c r="U51" s="954"/>
      <c r="V51" s="912"/>
      <c r="W51" s="953"/>
      <c r="X51" s="953"/>
      <c r="Y51" s="1035">
        <f t="shared" si="74"/>
        <v>2</v>
      </c>
      <c r="Z51" s="956">
        <f t="shared" si="75"/>
        <v>2</v>
      </c>
      <c r="AA51" s="1021">
        <f t="shared" si="76"/>
        <v>1</v>
      </c>
      <c r="AB51" s="996">
        <v>0.3</v>
      </c>
      <c r="AC51" s="996">
        <v>0.35</v>
      </c>
      <c r="AD51" s="973">
        <v>0</v>
      </c>
      <c r="AE51" s="951">
        <v>0</v>
      </c>
      <c r="AF51" s="951">
        <v>0.35</v>
      </c>
      <c r="AG51" s="958">
        <v>1444314591</v>
      </c>
      <c r="AH51" s="958">
        <v>2000000000</v>
      </c>
      <c r="AI51" s="958">
        <v>0</v>
      </c>
      <c r="AJ51" s="958">
        <v>0</v>
      </c>
      <c r="AK51" s="958">
        <v>1444314591</v>
      </c>
      <c r="AL51" s="1025">
        <f t="shared" si="20"/>
        <v>1</v>
      </c>
      <c r="AM51" s="958">
        <v>1500000</v>
      </c>
      <c r="AN51" s="958">
        <v>0</v>
      </c>
      <c r="AO51" s="958"/>
      <c r="AP51" s="958">
        <v>0</v>
      </c>
      <c r="AQ51" s="1026">
        <f t="shared" si="21"/>
        <v>0</v>
      </c>
      <c r="AR51" s="958">
        <f t="shared" si="77"/>
        <v>0</v>
      </c>
      <c r="AS51" s="958">
        <v>1998500000</v>
      </c>
      <c r="AT51" s="958">
        <v>1101694661.6700001</v>
      </c>
      <c r="AU51" s="958"/>
      <c r="AV51" s="958"/>
      <c r="AW51" s="958"/>
      <c r="AX51" s="958"/>
      <c r="AY51" s="1027" t="e">
        <f t="shared" si="7"/>
        <v>#DIV/0!</v>
      </c>
      <c r="AZ51" s="1028">
        <v>3444314591</v>
      </c>
      <c r="BA51" s="1000">
        <f t="shared" si="22"/>
        <v>3444314591</v>
      </c>
      <c r="BB51" s="973">
        <f t="shared" si="9"/>
        <v>1</v>
      </c>
      <c r="BC51" s="1029">
        <f t="shared" si="23"/>
        <v>1103194661.6700001</v>
      </c>
      <c r="BD51" s="973">
        <f t="shared" si="24"/>
        <v>0.32029439603242099</v>
      </c>
      <c r="BE51" s="1030"/>
      <c r="BF51" s="969"/>
      <c r="BG51" s="953" t="s">
        <v>697</v>
      </c>
      <c r="BH51" s="1007" t="s">
        <v>2223</v>
      </c>
    </row>
    <row r="52" spans="1:64" s="908" customFormat="1" ht="47.4" customHeight="1">
      <c r="A52" s="947" t="s">
        <v>1862</v>
      </c>
      <c r="B52" s="948" t="s">
        <v>1863</v>
      </c>
      <c r="C52" s="948" t="s">
        <v>2224</v>
      </c>
      <c r="D52" s="1033">
        <v>300</v>
      </c>
      <c r="E52" s="1033">
        <v>300</v>
      </c>
      <c r="F52" s="1033">
        <v>196</v>
      </c>
      <c r="G52" s="1033">
        <v>350</v>
      </c>
      <c r="H52" s="1033">
        <v>300</v>
      </c>
      <c r="I52" s="949">
        <v>273</v>
      </c>
      <c r="J52" s="949">
        <v>196</v>
      </c>
      <c r="K52" s="949">
        <v>350</v>
      </c>
      <c r="L52" s="949"/>
      <c r="M52" s="949">
        <v>27</v>
      </c>
      <c r="N52" s="949"/>
      <c r="O52" s="951">
        <f t="shared" si="72"/>
        <v>1</v>
      </c>
      <c r="P52" s="957">
        <f t="shared" si="72"/>
        <v>1</v>
      </c>
      <c r="Q52" s="973">
        <f t="shared" si="72"/>
        <v>1</v>
      </c>
      <c r="R52" s="951">
        <f t="shared" si="73"/>
        <v>1</v>
      </c>
      <c r="S52" s="953" t="s">
        <v>2225</v>
      </c>
      <c r="T52" s="974">
        <v>45107</v>
      </c>
      <c r="U52" s="912" t="s">
        <v>2115</v>
      </c>
      <c r="V52" s="912"/>
      <c r="W52" s="953" t="s">
        <v>2116</v>
      </c>
      <c r="X52" s="976" t="s">
        <v>2226</v>
      </c>
      <c r="Y52" s="1035">
        <f t="shared" si="74"/>
        <v>1146</v>
      </c>
      <c r="Z52" s="956">
        <f t="shared" si="75"/>
        <v>1146</v>
      </c>
      <c r="AA52" s="1021">
        <f t="shared" si="76"/>
        <v>1</v>
      </c>
      <c r="AB52" s="996">
        <v>0.3</v>
      </c>
      <c r="AC52" s="996">
        <v>0.35</v>
      </c>
      <c r="AD52" s="973">
        <v>0.47</v>
      </c>
      <c r="AE52" s="1023">
        <v>0.38</v>
      </c>
      <c r="AF52" s="1023">
        <v>0.35</v>
      </c>
      <c r="AG52" s="958">
        <v>4368348000</v>
      </c>
      <c r="AH52" s="958">
        <v>5376651240</v>
      </c>
      <c r="AI52" s="958">
        <v>5222458000</v>
      </c>
      <c r="AJ52" s="958">
        <v>5601321786</v>
      </c>
      <c r="AK52" s="958">
        <v>4368348000</v>
      </c>
      <c r="AL52" s="1025">
        <f t="shared" si="20"/>
        <v>1</v>
      </c>
      <c r="AM52" s="958">
        <v>5376651240</v>
      </c>
      <c r="AN52" s="958">
        <v>5222458000</v>
      </c>
      <c r="AO52" s="958">
        <v>5601321786</v>
      </c>
      <c r="AP52" s="958">
        <v>4346023000</v>
      </c>
      <c r="AQ52" s="1026">
        <f t="shared" si="21"/>
        <v>0.9948893723668536</v>
      </c>
      <c r="AR52" s="958">
        <f t="shared" si="77"/>
        <v>0</v>
      </c>
      <c r="AS52" s="958">
        <v>0</v>
      </c>
      <c r="AT52" s="958">
        <v>0</v>
      </c>
      <c r="AU52" s="958"/>
      <c r="AV52" s="958"/>
      <c r="AW52" s="958"/>
      <c r="AX52" s="958"/>
      <c r="AY52" s="1027" t="e">
        <f t="shared" si="7"/>
        <v>#DIV/0!</v>
      </c>
      <c r="AZ52" s="1028">
        <v>20568779026</v>
      </c>
      <c r="BA52" s="1000">
        <f t="shared" si="22"/>
        <v>20568779026</v>
      </c>
      <c r="BB52" s="1026">
        <f t="shared" si="9"/>
        <v>1</v>
      </c>
      <c r="BC52" s="1029">
        <f t="shared" si="23"/>
        <v>20546454026</v>
      </c>
      <c r="BD52" s="973">
        <f t="shared" si="24"/>
        <v>0.99891461715001262</v>
      </c>
      <c r="BE52" s="1030"/>
      <c r="BF52" s="969"/>
      <c r="BG52" s="953" t="s">
        <v>697</v>
      </c>
      <c r="BH52" s="1007" t="s">
        <v>2223</v>
      </c>
    </row>
    <row r="53" spans="1:64" s="908" customFormat="1" ht="71.25" hidden="1" customHeight="1">
      <c r="A53" s="947" t="s">
        <v>1864</v>
      </c>
      <c r="B53" s="948" t="s">
        <v>1865</v>
      </c>
      <c r="C53" s="948" t="s">
        <v>2108</v>
      </c>
      <c r="D53" s="1055">
        <v>1</v>
      </c>
      <c r="E53" s="1055">
        <v>1</v>
      </c>
      <c r="F53" s="1055">
        <v>1</v>
      </c>
      <c r="G53" s="1055">
        <v>1</v>
      </c>
      <c r="H53" s="949">
        <v>1</v>
      </c>
      <c r="I53" s="949">
        <v>1</v>
      </c>
      <c r="J53" s="949">
        <v>1</v>
      </c>
      <c r="K53" s="949">
        <v>1</v>
      </c>
      <c r="L53" s="949"/>
      <c r="M53" s="949"/>
      <c r="N53" s="949"/>
      <c r="O53" s="951">
        <f t="shared" si="72"/>
        <v>1</v>
      </c>
      <c r="P53" s="957">
        <f t="shared" si="72"/>
        <v>1</v>
      </c>
      <c r="Q53" s="973">
        <f t="shared" si="72"/>
        <v>1</v>
      </c>
      <c r="R53" s="951">
        <f t="shared" si="73"/>
        <v>1</v>
      </c>
      <c r="S53" s="953" t="s">
        <v>2227</v>
      </c>
      <c r="T53" s="974">
        <v>45107</v>
      </c>
      <c r="U53" s="912" t="s">
        <v>2153</v>
      </c>
      <c r="V53" s="985" t="s">
        <v>2213</v>
      </c>
      <c r="W53" s="953"/>
      <c r="X53" s="976"/>
      <c r="Y53" s="1035">
        <f t="shared" si="74"/>
        <v>4</v>
      </c>
      <c r="Z53" s="956">
        <f t="shared" si="75"/>
        <v>4</v>
      </c>
      <c r="AA53" s="1021">
        <f t="shared" si="76"/>
        <v>1</v>
      </c>
      <c r="AB53" s="996">
        <v>0.1</v>
      </c>
      <c r="AC53" s="996">
        <v>0.15</v>
      </c>
      <c r="AD53" s="973">
        <v>0.27</v>
      </c>
      <c r="AE53" s="1023">
        <v>0.18</v>
      </c>
      <c r="AF53" s="1023">
        <v>0.15</v>
      </c>
      <c r="AG53" s="1056">
        <v>0</v>
      </c>
      <c r="AH53" s="958">
        <v>0</v>
      </c>
      <c r="AI53" s="958">
        <v>0</v>
      </c>
      <c r="AJ53" s="958"/>
      <c r="AK53" s="958"/>
      <c r="AL53" s="1025" t="e">
        <f t="shared" si="20"/>
        <v>#DIV/0!</v>
      </c>
      <c r="AM53" s="958">
        <v>0</v>
      </c>
      <c r="AN53" s="958">
        <v>0</v>
      </c>
      <c r="AO53" s="958"/>
      <c r="AP53" s="958"/>
      <c r="AQ53" s="1026" t="e">
        <f t="shared" si="21"/>
        <v>#DIV/0!</v>
      </c>
      <c r="AR53" s="958">
        <f t="shared" si="77"/>
        <v>0</v>
      </c>
      <c r="AS53" s="958">
        <v>0</v>
      </c>
      <c r="AT53" s="958">
        <v>0</v>
      </c>
      <c r="AU53" s="958"/>
      <c r="AV53" s="958"/>
      <c r="AW53" s="958"/>
      <c r="AX53" s="958"/>
      <c r="AY53" s="1027" t="e">
        <f t="shared" si="7"/>
        <v>#DIV/0!</v>
      </c>
      <c r="AZ53" s="1028">
        <v>0</v>
      </c>
      <c r="BA53" s="1000">
        <f t="shared" si="22"/>
        <v>0</v>
      </c>
      <c r="BB53" s="973" t="e">
        <f t="shared" si="9"/>
        <v>#DIV/0!</v>
      </c>
      <c r="BC53" s="1029">
        <f t="shared" si="23"/>
        <v>0</v>
      </c>
      <c r="BD53" s="973" t="e">
        <f t="shared" si="24"/>
        <v>#DIV/0!</v>
      </c>
      <c r="BE53" s="1030"/>
      <c r="BF53" s="969"/>
      <c r="BG53" s="953" t="s">
        <v>697</v>
      </c>
      <c r="BH53" s="1382" t="s">
        <v>2223</v>
      </c>
    </row>
    <row r="54" spans="1:64" s="908" customFormat="1" ht="47.4" customHeight="1">
      <c r="A54" s="947" t="s">
        <v>1866</v>
      </c>
      <c r="B54" s="948" t="s">
        <v>1867</v>
      </c>
      <c r="C54" s="948" t="s">
        <v>2108</v>
      </c>
      <c r="D54" s="1033">
        <v>1</v>
      </c>
      <c r="E54" s="1033">
        <v>1</v>
      </c>
      <c r="F54" s="1033">
        <v>1</v>
      </c>
      <c r="G54" s="1033">
        <v>1</v>
      </c>
      <c r="H54" s="949">
        <v>1</v>
      </c>
      <c r="I54" s="949">
        <v>1</v>
      </c>
      <c r="J54" s="949">
        <v>1</v>
      </c>
      <c r="K54" s="949">
        <v>1</v>
      </c>
      <c r="L54" s="949"/>
      <c r="M54" s="949"/>
      <c r="N54" s="949"/>
      <c r="O54" s="951">
        <f t="shared" si="72"/>
        <v>1</v>
      </c>
      <c r="P54" s="957">
        <f t="shared" si="72"/>
        <v>1</v>
      </c>
      <c r="Q54" s="973">
        <f t="shared" si="72"/>
        <v>1</v>
      </c>
      <c r="R54" s="951">
        <f t="shared" si="73"/>
        <v>1</v>
      </c>
      <c r="S54" s="953" t="s">
        <v>2001</v>
      </c>
      <c r="T54" s="974">
        <v>45107</v>
      </c>
      <c r="U54" s="954"/>
      <c r="V54" s="912"/>
      <c r="W54" s="953"/>
      <c r="X54" s="953"/>
      <c r="Y54" s="1035">
        <f t="shared" si="74"/>
        <v>4</v>
      </c>
      <c r="Z54" s="956">
        <f t="shared" si="75"/>
        <v>4</v>
      </c>
      <c r="AA54" s="1021">
        <f t="shared" si="76"/>
        <v>1</v>
      </c>
      <c r="AB54" s="996">
        <v>0.1</v>
      </c>
      <c r="AC54" s="996">
        <v>0.15</v>
      </c>
      <c r="AD54" s="973">
        <v>0.26</v>
      </c>
      <c r="AE54" s="1023">
        <v>0.17</v>
      </c>
      <c r="AF54" s="1023">
        <v>0.15</v>
      </c>
      <c r="AG54" s="958">
        <v>33344352505</v>
      </c>
      <c r="AH54" s="1057">
        <f>27218924156+3979322844.9</f>
        <v>31198247000.900002</v>
      </c>
      <c r="AI54" s="958">
        <v>27327332015.5</v>
      </c>
      <c r="AJ54" s="958">
        <v>31162946267</v>
      </c>
      <c r="AK54" s="958">
        <v>33344352505</v>
      </c>
      <c r="AL54" s="1025">
        <f t="shared" si="20"/>
        <v>1</v>
      </c>
      <c r="AM54" s="1057">
        <v>25693011032</v>
      </c>
      <c r="AN54" s="958">
        <v>27327332015.5</v>
      </c>
      <c r="AO54" s="958">
        <v>31162946267</v>
      </c>
      <c r="AP54" s="958">
        <v>33344352505</v>
      </c>
      <c r="AQ54" s="1026">
        <f t="shared" si="21"/>
        <v>1</v>
      </c>
      <c r="AR54" s="958">
        <f t="shared" si="77"/>
        <v>0</v>
      </c>
      <c r="AS54" s="958">
        <v>5505235968.8999996</v>
      </c>
      <c r="AT54" s="958">
        <v>5478436597.21</v>
      </c>
      <c r="AU54" s="958"/>
      <c r="AV54" s="958"/>
      <c r="AW54" s="958"/>
      <c r="AX54" s="958"/>
      <c r="AY54" s="1027" t="e">
        <f t="shared" si="7"/>
        <v>#DIV/0!</v>
      </c>
      <c r="AZ54" s="1028">
        <v>124910894121</v>
      </c>
      <c r="BA54" s="1000">
        <f t="shared" si="22"/>
        <v>123032877788.39999</v>
      </c>
      <c r="BB54" s="973">
        <f t="shared" si="9"/>
        <v>0.9849651517922785</v>
      </c>
      <c r="BC54" s="1029">
        <f t="shared" si="23"/>
        <v>123006078416.71001</v>
      </c>
      <c r="BD54" s="973">
        <f t="shared" si="24"/>
        <v>0.98475060387891533</v>
      </c>
      <c r="BE54" s="1030"/>
      <c r="BF54" s="969"/>
      <c r="BG54" s="953" t="s">
        <v>697</v>
      </c>
      <c r="BH54" s="1370"/>
    </row>
    <row r="55" spans="1:64" s="908" customFormat="1" ht="47.4" customHeight="1">
      <c r="A55" s="914" t="s">
        <v>2228</v>
      </c>
      <c r="B55" s="915"/>
      <c r="C55" s="915"/>
      <c r="D55" s="916"/>
      <c r="E55" s="916"/>
      <c r="F55" s="916"/>
      <c r="G55" s="916"/>
      <c r="H55" s="920"/>
      <c r="I55" s="921"/>
      <c r="J55" s="921"/>
      <c r="K55" s="921"/>
      <c r="L55" s="922"/>
      <c r="M55" s="915"/>
      <c r="N55" s="921"/>
      <c r="O55" s="920">
        <f>+(O56*AC56)+(O69*AC69)+(O78*AC78)</f>
        <v>0.87840000000000007</v>
      </c>
      <c r="P55" s="920">
        <f t="shared" ref="P55:R55" si="78">+(P56*AD56)+(P69*AD69)+(P78*AD78)</f>
        <v>0.70879999999999999</v>
      </c>
      <c r="Q55" s="920">
        <f t="shared" si="78"/>
        <v>0.96639999999999993</v>
      </c>
      <c r="R55" s="920">
        <f t="shared" si="78"/>
        <v>0.95262400000000003</v>
      </c>
      <c r="S55" s="915"/>
      <c r="T55" s="915"/>
      <c r="U55" s="915"/>
      <c r="V55" s="915"/>
      <c r="W55" s="915"/>
      <c r="X55" s="915"/>
      <c r="Y55" s="915"/>
      <c r="Z55" s="915">
        <f>SUM(H55:M55)</f>
        <v>0</v>
      </c>
      <c r="AA55" s="920">
        <f>+(AA56*AB56)+(AA69*AB69)+(AA78*AB78)</f>
        <v>0.93519347319347323</v>
      </c>
      <c r="AB55" s="920">
        <v>0.15</v>
      </c>
      <c r="AC55" s="920">
        <v>0.15</v>
      </c>
      <c r="AD55" s="920">
        <v>0.15</v>
      </c>
      <c r="AE55" s="920">
        <v>0.15</v>
      </c>
      <c r="AF55" s="920">
        <v>0.15</v>
      </c>
      <c r="AG55" s="915">
        <f>+AG56+AG69+AG78</f>
        <v>6568000000</v>
      </c>
      <c r="AH55" s="916">
        <f>+AH56+AH69+AH78</f>
        <v>2671026967</v>
      </c>
      <c r="AI55" s="916">
        <f>+AI56+AI69+AI78</f>
        <v>3993944361.1999998</v>
      </c>
      <c r="AJ55" s="1058">
        <f>+AJ56+AJ69+AJ78</f>
        <v>7036396547</v>
      </c>
      <c r="AK55" s="1058">
        <f>+AK56+AK69+AK78</f>
        <v>6457365549</v>
      </c>
      <c r="AL55" s="922">
        <f t="shared" si="20"/>
        <v>0.98315553425700364</v>
      </c>
      <c r="AM55" s="921">
        <f>+AM56+AM69+AM78</f>
        <v>1096965751</v>
      </c>
      <c r="AN55" s="921">
        <f>+AN56+AN69+AN78</f>
        <v>2874263215</v>
      </c>
      <c r="AO55" s="921">
        <f>+AO56+AO69+AO78</f>
        <v>5840107139</v>
      </c>
      <c r="AP55" s="1058">
        <f>+AP56+AP69+AP78</f>
        <v>4192409901.6900001</v>
      </c>
      <c r="AQ55" s="924">
        <f t="shared" si="21"/>
        <v>0.63830845031820949</v>
      </c>
      <c r="AR55" s="921">
        <f t="shared" ref="AR55:AX55" si="79">+AR56+AR69+AR78</f>
        <v>1196289408</v>
      </c>
      <c r="AS55" s="921">
        <f t="shared" si="79"/>
        <v>1874417406.9000001</v>
      </c>
      <c r="AT55" s="921">
        <f t="shared" si="79"/>
        <v>1845306970.21</v>
      </c>
      <c r="AU55" s="921">
        <f t="shared" si="79"/>
        <v>1119681146.2</v>
      </c>
      <c r="AV55" s="915">
        <f t="shared" si="79"/>
        <v>896397351</v>
      </c>
      <c r="AW55" s="921">
        <f t="shared" si="79"/>
        <v>1196289408</v>
      </c>
      <c r="AX55" s="915">
        <f t="shared" si="79"/>
        <v>1186563330</v>
      </c>
      <c r="AY55" s="924">
        <f t="shared" si="7"/>
        <v>0</v>
      </c>
      <c r="AZ55" s="915">
        <f>+AZ56+AZ69+AZ78</f>
        <v>21766533540</v>
      </c>
      <c r="BA55" s="915">
        <f t="shared" si="22"/>
        <v>20158733424.200001</v>
      </c>
      <c r="BB55" s="920">
        <f t="shared" si="9"/>
        <v>0.92613430554546627</v>
      </c>
      <c r="BC55" s="1059">
        <f t="shared" si="23"/>
        <v>17932013657.900002</v>
      </c>
      <c r="BD55" s="920">
        <f t="shared" si="24"/>
        <v>0.82383415002423954</v>
      </c>
      <c r="BE55" s="1060"/>
      <c r="BF55" s="1060"/>
      <c r="BG55" s="915"/>
      <c r="BH55" s="920"/>
      <c r="BI55" s="915" t="s">
        <v>2103</v>
      </c>
      <c r="BJ55" s="915"/>
      <c r="BK55" s="1061"/>
      <c r="BL55" s="1061"/>
    </row>
    <row r="56" spans="1:64" s="935" customFormat="1" ht="47.4" customHeight="1">
      <c r="A56" s="925" t="s">
        <v>2229</v>
      </c>
      <c r="B56" s="926"/>
      <c r="C56" s="926"/>
      <c r="D56" s="927"/>
      <c r="E56" s="927"/>
      <c r="F56" s="927"/>
      <c r="G56" s="927"/>
      <c r="H56" s="927"/>
      <c r="I56" s="927"/>
      <c r="J56" s="927"/>
      <c r="K56" s="927"/>
      <c r="L56" s="927"/>
      <c r="M56" s="927"/>
      <c r="N56" s="927"/>
      <c r="O56" s="930">
        <f>+(O57*AC57)+(O63*AC63)</f>
        <v>1</v>
      </c>
      <c r="P56" s="930">
        <f t="shared" ref="P56:R56" si="80">+(P57*AD57)+(P63*AD63)</f>
        <v>1</v>
      </c>
      <c r="Q56" s="930">
        <f t="shared" si="80"/>
        <v>1</v>
      </c>
      <c r="R56" s="930">
        <f t="shared" si="80"/>
        <v>1</v>
      </c>
      <c r="S56" s="926"/>
      <c r="T56" s="926"/>
      <c r="U56" s="926"/>
      <c r="V56" s="926"/>
      <c r="W56" s="926"/>
      <c r="X56" s="926"/>
      <c r="Y56" s="929"/>
      <c r="Z56" s="929">
        <f>SUM(H56:M56)</f>
        <v>0</v>
      </c>
      <c r="AA56" s="930">
        <f>+(AA57*AB57)+(AA63*AB63)</f>
        <v>1</v>
      </c>
      <c r="AB56" s="928">
        <v>0.3</v>
      </c>
      <c r="AC56" s="928">
        <v>0.3</v>
      </c>
      <c r="AD56" s="928">
        <v>0.3</v>
      </c>
      <c r="AE56" s="928">
        <v>0.3</v>
      </c>
      <c r="AF56" s="928">
        <v>0.3</v>
      </c>
      <c r="AG56" s="926">
        <f>+AG57+AG63</f>
        <v>2300000000</v>
      </c>
      <c r="AH56" s="926">
        <f>+AH57+AH63</f>
        <v>1620388056</v>
      </c>
      <c r="AI56" s="926">
        <f>+AI57+AI63</f>
        <v>859909131</v>
      </c>
      <c r="AJ56" s="926">
        <f>+AJ57+AJ63</f>
        <v>2615234468</v>
      </c>
      <c r="AK56" s="926">
        <f>+AK57+AK63</f>
        <v>2300000000</v>
      </c>
      <c r="AL56" s="931">
        <f t="shared" si="20"/>
        <v>1</v>
      </c>
      <c r="AM56" s="926">
        <f>+AM57+AM63</f>
        <v>179725140</v>
      </c>
      <c r="AN56" s="926">
        <f>+AN57+AN63</f>
        <v>642270869</v>
      </c>
      <c r="AO56" s="926">
        <f>+AO57+AO63</f>
        <v>1547677444</v>
      </c>
      <c r="AP56" s="926">
        <f>+AP57+AP63</f>
        <v>1931554525</v>
      </c>
      <c r="AQ56" s="933">
        <f t="shared" si="21"/>
        <v>0.83980631521739135</v>
      </c>
      <c r="AR56" s="926">
        <f t="shared" ref="AR56:AX56" si="81">+AR57+AR63</f>
        <v>1067557024</v>
      </c>
      <c r="AS56" s="926">
        <f t="shared" si="81"/>
        <v>1741019106.9000001</v>
      </c>
      <c r="AT56" s="926">
        <f t="shared" si="81"/>
        <v>1714219735.21</v>
      </c>
      <c r="AU56" s="926">
        <f t="shared" si="81"/>
        <v>217638262</v>
      </c>
      <c r="AV56" s="926">
        <f t="shared" si="81"/>
        <v>217190769</v>
      </c>
      <c r="AW56" s="926">
        <f t="shared" si="81"/>
        <v>1067557024</v>
      </c>
      <c r="AX56" s="926">
        <f t="shared" si="81"/>
        <v>1065004023</v>
      </c>
      <c r="AY56" s="934">
        <f t="shared" si="7"/>
        <v>0</v>
      </c>
      <c r="AZ56" s="926">
        <f>+AZ57+AZ63</f>
        <v>7652044451</v>
      </c>
      <c r="BA56" s="926">
        <f t="shared" si="22"/>
        <v>7395531655</v>
      </c>
      <c r="BB56" s="928">
        <f t="shared" si="9"/>
        <v>0.96647787429325793</v>
      </c>
      <c r="BC56" s="1010">
        <f t="shared" si="23"/>
        <v>7297642505.21</v>
      </c>
      <c r="BD56" s="928">
        <f t="shared" si="24"/>
        <v>0.95368532578980436</v>
      </c>
      <c r="BE56" s="926"/>
      <c r="BF56" s="926" t="s">
        <v>1695</v>
      </c>
      <c r="BG56" s="926"/>
      <c r="BH56" s="926"/>
      <c r="BI56" s="935" t="s">
        <v>2103</v>
      </c>
    </row>
    <row r="57" spans="1:64" s="908" customFormat="1" ht="47.4" customHeight="1">
      <c r="A57" s="936" t="s">
        <v>2230</v>
      </c>
      <c r="B57" s="937"/>
      <c r="C57" s="937"/>
      <c r="D57" s="938"/>
      <c r="E57" s="938"/>
      <c r="F57" s="938"/>
      <c r="G57" s="938"/>
      <c r="H57" s="938"/>
      <c r="I57" s="938"/>
      <c r="J57" s="938"/>
      <c r="K57" s="938"/>
      <c r="L57" s="938"/>
      <c r="M57" s="938"/>
      <c r="N57" s="938"/>
      <c r="O57" s="939">
        <f>+SUMPRODUCT(O58:O62,AC58:AC62)</f>
        <v>1</v>
      </c>
      <c r="P57" s="939">
        <f t="shared" ref="P57:R57" si="82">+SUMPRODUCT(P58:P62,AD58:AD62)</f>
        <v>1</v>
      </c>
      <c r="Q57" s="939">
        <f t="shared" si="82"/>
        <v>1</v>
      </c>
      <c r="R57" s="939">
        <f t="shared" si="82"/>
        <v>1</v>
      </c>
      <c r="S57" s="937"/>
      <c r="T57" s="937"/>
      <c r="U57" s="1015"/>
      <c r="V57" s="1015"/>
      <c r="W57" s="1015"/>
      <c r="X57" s="937"/>
      <c r="Y57" s="940"/>
      <c r="Z57" s="940">
        <f>SUM(H57:M57)</f>
        <v>0</v>
      </c>
      <c r="AA57" s="939">
        <f>+SUMPRODUCT(AA58:AA62,AB58:AB62)</f>
        <v>1</v>
      </c>
      <c r="AB57" s="939">
        <v>0.5</v>
      </c>
      <c r="AC57" s="939">
        <v>0</v>
      </c>
      <c r="AD57" s="939">
        <v>0.5</v>
      </c>
      <c r="AE57" s="939">
        <v>0.5</v>
      </c>
      <c r="AF57" s="939">
        <v>0.5</v>
      </c>
      <c r="AG57" s="937">
        <f>+SUM(AG58:AG62)</f>
        <v>1550000000</v>
      </c>
      <c r="AH57" s="937">
        <f>SUM(AH58:AH62)</f>
        <v>202888056</v>
      </c>
      <c r="AI57" s="937">
        <f>SUM(AI58:AI62)</f>
        <v>267680487</v>
      </c>
      <c r="AJ57" s="937">
        <f>SUM(AJ58:AJ62)</f>
        <v>1696254619</v>
      </c>
      <c r="AK57" s="937">
        <f>+SUM(AK58:AK62)</f>
        <v>1550000000</v>
      </c>
      <c r="AL57" s="943">
        <f t="shared" si="20"/>
        <v>1</v>
      </c>
      <c r="AM57" s="937">
        <f>SUM(AM58:AM62)</f>
        <v>137225140</v>
      </c>
      <c r="AN57" s="937">
        <f>SUM(AN58:AN62)</f>
        <v>56522524</v>
      </c>
      <c r="AO57" s="937">
        <f>SUM(AO58:AO62)</f>
        <v>634050886</v>
      </c>
      <c r="AP57" s="937">
        <f>+SUM(AP58:AP62)</f>
        <v>1235237013</v>
      </c>
      <c r="AQ57" s="944">
        <f t="shared" si="21"/>
        <v>0.79692710516129028</v>
      </c>
      <c r="AR57" s="945">
        <f t="shared" ref="AR57:AX57" si="83">SUM(AR58:AR62)</f>
        <v>1062203733</v>
      </c>
      <c r="AS57" s="945">
        <f t="shared" si="83"/>
        <v>366019106.89999998</v>
      </c>
      <c r="AT57" s="945">
        <f t="shared" si="83"/>
        <v>339219735.20999998</v>
      </c>
      <c r="AU57" s="945">
        <f t="shared" si="83"/>
        <v>211157963</v>
      </c>
      <c r="AV57" s="945">
        <f t="shared" si="83"/>
        <v>210940830</v>
      </c>
      <c r="AW57" s="945">
        <f t="shared" si="83"/>
        <v>1062203733</v>
      </c>
      <c r="AX57" s="945">
        <f t="shared" si="83"/>
        <v>1060362347</v>
      </c>
      <c r="AY57" s="946">
        <f t="shared" si="7"/>
        <v>1.1170769722760898</v>
      </c>
      <c r="AZ57" s="945">
        <f>SUM(AZ58:AZ62)</f>
        <v>3962044451</v>
      </c>
      <c r="BA57" s="945">
        <f t="shared" si="22"/>
        <v>3716823162</v>
      </c>
      <c r="BB57" s="1062">
        <f t="shared" si="9"/>
        <v>0.93810738571140784</v>
      </c>
      <c r="BC57" s="1063">
        <f t="shared" si="23"/>
        <v>3673558475.21</v>
      </c>
      <c r="BD57" s="1062">
        <f t="shared" si="24"/>
        <v>0.92718759737357626</v>
      </c>
      <c r="BE57" s="945"/>
      <c r="BF57" s="945"/>
      <c r="BG57" s="945"/>
      <c r="BH57" s="945"/>
    </row>
    <row r="58" spans="1:64" s="908" customFormat="1" ht="47.4" customHeight="1">
      <c r="A58" s="1064" t="s">
        <v>1924</v>
      </c>
      <c r="B58" s="1065" t="s">
        <v>2231</v>
      </c>
      <c r="C58" s="980" t="s">
        <v>2108</v>
      </c>
      <c r="D58" s="1033">
        <v>0</v>
      </c>
      <c r="E58" s="1033">
        <v>0</v>
      </c>
      <c r="F58" s="1033">
        <v>50</v>
      </c>
      <c r="G58" s="1033">
        <v>40</v>
      </c>
      <c r="H58" s="949">
        <v>0</v>
      </c>
      <c r="I58" s="949" t="s">
        <v>1918</v>
      </c>
      <c r="J58" s="949">
        <v>50</v>
      </c>
      <c r="K58" s="949">
        <v>40</v>
      </c>
      <c r="L58" s="949"/>
      <c r="M58" s="949"/>
      <c r="N58" s="949"/>
      <c r="O58" s="973">
        <f t="shared" ref="O58:Q62" si="84">+IFERROR(IF((H58+L58)/D58&gt;=100%,100%,(H58+L58)/D58),0)</f>
        <v>0</v>
      </c>
      <c r="P58" s="1021">
        <f t="shared" si="84"/>
        <v>0</v>
      </c>
      <c r="Q58" s="973">
        <f t="shared" si="84"/>
        <v>1</v>
      </c>
      <c r="R58" s="951">
        <f t="shared" ref="R58:R62" si="85">+IFERROR(IF(K58/G58&gt;=100%,100%,K58/G58),0)</f>
        <v>1</v>
      </c>
      <c r="S58" s="1068" t="s">
        <v>2232</v>
      </c>
      <c r="T58" s="974">
        <v>45107</v>
      </c>
      <c r="U58" s="984" t="s">
        <v>2115</v>
      </c>
      <c r="V58" s="985"/>
      <c r="W58" s="952" t="s">
        <v>2116</v>
      </c>
      <c r="X58" s="952" t="s">
        <v>2233</v>
      </c>
      <c r="Y58" s="1035">
        <f t="shared" ref="Y58:Y62" si="86">SUM(D58:G58)</f>
        <v>90</v>
      </c>
      <c r="Z58" s="956">
        <f t="shared" ref="Z58:Z62" si="87">SUM(H58:N58)</f>
        <v>90</v>
      </c>
      <c r="AA58" s="1021">
        <f t="shared" ref="AA58:AA62" si="88">IF(Z58/Y58&gt;=100%,100%,Z58/Y58)</f>
        <v>1</v>
      </c>
      <c r="AB58" s="1069">
        <v>0.25</v>
      </c>
      <c r="AC58" s="1069">
        <v>0</v>
      </c>
      <c r="AD58" s="973">
        <v>0</v>
      </c>
      <c r="AE58" s="951">
        <v>0.25</v>
      </c>
      <c r="AF58" s="951">
        <v>0.3</v>
      </c>
      <c r="AG58" s="1070">
        <v>550000000</v>
      </c>
      <c r="AH58" s="1070" t="s">
        <v>2120</v>
      </c>
      <c r="AI58" s="1070">
        <v>0</v>
      </c>
      <c r="AJ58" s="1070">
        <v>398607608</v>
      </c>
      <c r="AK58" s="1070">
        <v>550000000</v>
      </c>
      <c r="AL58" s="1025">
        <f t="shared" si="20"/>
        <v>1</v>
      </c>
      <c r="AM58" s="1070" t="s">
        <v>2120</v>
      </c>
      <c r="AN58" s="1070">
        <v>0</v>
      </c>
      <c r="AO58" s="1070">
        <v>54267918</v>
      </c>
      <c r="AP58" s="1070">
        <v>428206003</v>
      </c>
      <c r="AQ58" s="1026">
        <f t="shared" si="21"/>
        <v>0.77855636909090908</v>
      </c>
      <c r="AR58" s="958">
        <f t="shared" ref="AR58:AR62" si="89">+AJ58-AO58</f>
        <v>344339690</v>
      </c>
      <c r="AS58" s="1070" t="s">
        <v>2120</v>
      </c>
      <c r="AT58" s="958">
        <v>0</v>
      </c>
      <c r="AU58" s="1070"/>
      <c r="AV58" s="1070"/>
      <c r="AW58" s="1070">
        <v>344339690</v>
      </c>
      <c r="AX58" s="1070">
        <v>343878736</v>
      </c>
      <c r="AY58" s="1027">
        <f t="shared" si="7"/>
        <v>3.0928877905419498</v>
      </c>
      <c r="AZ58" s="1071">
        <v>950000000</v>
      </c>
      <c r="BA58" s="1000">
        <f t="shared" si="22"/>
        <v>948607608</v>
      </c>
      <c r="BB58" s="973">
        <f t="shared" si="9"/>
        <v>0.99853432421052635</v>
      </c>
      <c r="BC58" s="1029">
        <f t="shared" si="23"/>
        <v>826352657</v>
      </c>
      <c r="BD58" s="973">
        <f t="shared" si="24"/>
        <v>0.86984490210526311</v>
      </c>
      <c r="BE58" s="1030"/>
      <c r="BF58" s="1030"/>
      <c r="BG58" s="952" t="s">
        <v>313</v>
      </c>
      <c r="BH58" s="1072" t="s">
        <v>2234</v>
      </c>
    </row>
    <row r="59" spans="1:64" s="908" customFormat="1" ht="47.4" customHeight="1">
      <c r="A59" s="1064" t="s">
        <v>2235</v>
      </c>
      <c r="B59" s="1073" t="s">
        <v>2236</v>
      </c>
      <c r="C59" s="980" t="s">
        <v>2108</v>
      </c>
      <c r="D59" s="1033">
        <v>0</v>
      </c>
      <c r="E59" s="1033">
        <v>50000</v>
      </c>
      <c r="F59" s="1324">
        <v>50000</v>
      </c>
      <c r="G59" s="1324">
        <v>50000</v>
      </c>
      <c r="H59" s="949">
        <v>0</v>
      </c>
      <c r="I59" s="949">
        <v>0</v>
      </c>
      <c r="J59" s="949">
        <v>50000</v>
      </c>
      <c r="K59" s="949">
        <v>100000</v>
      </c>
      <c r="L59" s="949"/>
      <c r="M59" s="949">
        <v>50000</v>
      </c>
      <c r="N59" s="949"/>
      <c r="O59" s="973">
        <f t="shared" si="84"/>
        <v>0</v>
      </c>
      <c r="P59" s="1021">
        <f t="shared" si="84"/>
        <v>1</v>
      </c>
      <c r="Q59" s="973">
        <f t="shared" si="84"/>
        <v>1</v>
      </c>
      <c r="R59" s="951">
        <f t="shared" si="85"/>
        <v>1</v>
      </c>
      <c r="S59" s="953" t="s">
        <v>2237</v>
      </c>
      <c r="T59" s="974">
        <v>45107</v>
      </c>
      <c r="U59" s="984" t="s">
        <v>2115</v>
      </c>
      <c r="V59" s="985"/>
      <c r="W59" s="952" t="s">
        <v>2116</v>
      </c>
      <c r="X59" s="952" t="s">
        <v>2233</v>
      </c>
      <c r="Y59" s="1035">
        <f t="shared" si="86"/>
        <v>150000</v>
      </c>
      <c r="Z59" s="956">
        <f t="shared" si="87"/>
        <v>200000</v>
      </c>
      <c r="AA59" s="1021">
        <f t="shared" si="88"/>
        <v>1</v>
      </c>
      <c r="AB59" s="1069">
        <v>0.2</v>
      </c>
      <c r="AC59" s="1069">
        <v>0</v>
      </c>
      <c r="AD59" s="973">
        <v>0.5</v>
      </c>
      <c r="AE59" s="951">
        <v>0.2</v>
      </c>
      <c r="AF59" s="951">
        <v>0.25</v>
      </c>
      <c r="AG59" s="1070">
        <v>300000000</v>
      </c>
      <c r="AH59" s="1070">
        <v>0</v>
      </c>
      <c r="AI59" s="1070">
        <v>20786566</v>
      </c>
      <c r="AJ59" s="1070">
        <v>248712470</v>
      </c>
      <c r="AK59" s="1070">
        <v>300000000</v>
      </c>
      <c r="AL59" s="1025">
        <f t="shared" si="20"/>
        <v>1</v>
      </c>
      <c r="AM59" s="1070">
        <v>0</v>
      </c>
      <c r="AN59" s="1070">
        <v>17325906</v>
      </c>
      <c r="AO59" s="1070">
        <v>241853887</v>
      </c>
      <c r="AP59" s="1070">
        <v>250409450</v>
      </c>
      <c r="AQ59" s="1026">
        <f t="shared" si="21"/>
        <v>0.83469816666666663</v>
      </c>
      <c r="AR59" s="958">
        <f t="shared" si="89"/>
        <v>6858583</v>
      </c>
      <c r="AS59" s="1070">
        <v>0</v>
      </c>
      <c r="AT59" s="1070">
        <v>0</v>
      </c>
      <c r="AU59" s="1070">
        <v>3460660</v>
      </c>
      <c r="AV59" s="1070">
        <v>3335671</v>
      </c>
      <c r="AW59" s="1070">
        <v>6858583</v>
      </c>
      <c r="AX59" s="1070">
        <v>6157032</v>
      </c>
      <c r="AY59" s="1027">
        <f t="shared" si="7"/>
        <v>154.60370560507906</v>
      </c>
      <c r="AZ59" s="1050">
        <v>800000000</v>
      </c>
      <c r="BA59" s="1000">
        <f t="shared" si="22"/>
        <v>569499036</v>
      </c>
      <c r="BB59" s="973">
        <f t="shared" si="9"/>
        <v>0.71187379500000003</v>
      </c>
      <c r="BC59" s="1029">
        <f t="shared" si="23"/>
        <v>519081946</v>
      </c>
      <c r="BD59" s="973">
        <f t="shared" si="24"/>
        <v>0.64885243250000002</v>
      </c>
      <c r="BE59" s="1030"/>
      <c r="BF59" s="1030"/>
      <c r="BG59" s="952" t="s">
        <v>1703</v>
      </c>
      <c r="BH59" s="1072" t="s">
        <v>2234</v>
      </c>
    </row>
    <row r="60" spans="1:64" s="908" customFormat="1" ht="47.4" customHeight="1">
      <c r="A60" s="1064" t="s">
        <v>2238</v>
      </c>
      <c r="B60" s="1031" t="s">
        <v>2239</v>
      </c>
      <c r="C60" s="980" t="s">
        <v>2108</v>
      </c>
      <c r="D60" s="1033">
        <v>0</v>
      </c>
      <c r="E60" s="1033">
        <v>0</v>
      </c>
      <c r="F60" s="1033">
        <v>2</v>
      </c>
      <c r="G60" s="1033">
        <v>2</v>
      </c>
      <c r="H60" s="949">
        <v>0</v>
      </c>
      <c r="I60" s="949" t="s">
        <v>1918</v>
      </c>
      <c r="J60" s="949">
        <v>2</v>
      </c>
      <c r="K60" s="981">
        <v>2</v>
      </c>
      <c r="L60" s="949"/>
      <c r="M60" s="949"/>
      <c r="N60" s="949"/>
      <c r="O60" s="973">
        <f t="shared" si="84"/>
        <v>0</v>
      </c>
      <c r="P60" s="1021">
        <f t="shared" si="84"/>
        <v>0</v>
      </c>
      <c r="Q60" s="973">
        <f t="shared" si="84"/>
        <v>1</v>
      </c>
      <c r="R60" s="951">
        <f t="shared" si="85"/>
        <v>1</v>
      </c>
      <c r="S60" s="952" t="s">
        <v>2240</v>
      </c>
      <c r="T60" s="974">
        <v>45107</v>
      </c>
      <c r="U60" s="984" t="s">
        <v>2115</v>
      </c>
      <c r="V60" s="985"/>
      <c r="W60" s="952" t="s">
        <v>2116</v>
      </c>
      <c r="X60" s="952" t="s">
        <v>2233</v>
      </c>
      <c r="Y60" s="1035">
        <f t="shared" si="86"/>
        <v>4</v>
      </c>
      <c r="Z60" s="956">
        <f t="shared" si="87"/>
        <v>4</v>
      </c>
      <c r="AA60" s="1021">
        <f t="shared" si="88"/>
        <v>1</v>
      </c>
      <c r="AB60" s="1069">
        <v>0.15</v>
      </c>
      <c r="AC60" s="1069">
        <v>0</v>
      </c>
      <c r="AD60" s="973">
        <v>0</v>
      </c>
      <c r="AE60" s="951">
        <v>0.15</v>
      </c>
      <c r="AF60" s="951">
        <v>0.2</v>
      </c>
      <c r="AG60" s="1070">
        <v>300000000</v>
      </c>
      <c r="AH60" s="1070" t="s">
        <v>2120</v>
      </c>
      <c r="AI60" s="1070">
        <v>0</v>
      </c>
      <c r="AJ60" s="1070">
        <v>299667241</v>
      </c>
      <c r="AK60" s="1070">
        <v>300000000</v>
      </c>
      <c r="AL60" s="1025">
        <f t="shared" si="20"/>
        <v>1</v>
      </c>
      <c r="AM60" s="1070" t="s">
        <v>2120</v>
      </c>
      <c r="AN60" s="1070">
        <v>0</v>
      </c>
      <c r="AO60" s="1070">
        <v>37257534</v>
      </c>
      <c r="AP60" s="1070">
        <v>250000000</v>
      </c>
      <c r="AQ60" s="1026">
        <f t="shared" si="21"/>
        <v>0.83333333333333337</v>
      </c>
      <c r="AR60" s="958">
        <f t="shared" si="89"/>
        <v>262409707</v>
      </c>
      <c r="AS60" s="1070">
        <v>0</v>
      </c>
      <c r="AT60" s="1070">
        <v>0</v>
      </c>
      <c r="AU60" s="1070"/>
      <c r="AV60" s="1070"/>
      <c r="AW60" s="1070">
        <v>262409707</v>
      </c>
      <c r="AX60" s="1070">
        <v>262177914</v>
      </c>
      <c r="AY60" s="1027">
        <f t="shared" si="7"/>
        <v>1.3104649973943228</v>
      </c>
      <c r="AZ60" s="1071">
        <v>600000000</v>
      </c>
      <c r="BA60" s="1000">
        <f t="shared" si="22"/>
        <v>599667241</v>
      </c>
      <c r="BB60" s="973">
        <f t="shared" si="9"/>
        <v>0.99944540166666662</v>
      </c>
      <c r="BC60" s="1029">
        <f t="shared" si="23"/>
        <v>549435448</v>
      </c>
      <c r="BD60" s="973">
        <f t="shared" si="24"/>
        <v>0.91572574666666662</v>
      </c>
      <c r="BE60" s="1030"/>
      <c r="BF60" s="1030"/>
      <c r="BG60" s="952" t="s">
        <v>1703</v>
      </c>
      <c r="BH60" s="1072" t="s">
        <v>2234</v>
      </c>
    </row>
    <row r="61" spans="1:64" s="908" customFormat="1" ht="97.5" hidden="1" customHeight="1">
      <c r="A61" s="1064" t="s">
        <v>1852</v>
      </c>
      <c r="B61" s="1065" t="s">
        <v>2241</v>
      </c>
      <c r="C61" s="980" t="s">
        <v>2108</v>
      </c>
      <c r="D61" s="1066">
        <v>0.1</v>
      </c>
      <c r="E61" s="1066">
        <v>1</v>
      </c>
      <c r="F61" s="1033">
        <v>1</v>
      </c>
      <c r="G61" s="1074">
        <v>0</v>
      </c>
      <c r="H61" s="1066">
        <v>0.1</v>
      </c>
      <c r="I61" s="950">
        <v>1</v>
      </c>
      <c r="J61" s="1075">
        <v>1</v>
      </c>
      <c r="K61" s="1075">
        <v>0</v>
      </c>
      <c r="L61" s="950"/>
      <c r="M61" s="950"/>
      <c r="N61" s="950"/>
      <c r="O61" s="973">
        <f t="shared" si="84"/>
        <v>1</v>
      </c>
      <c r="P61" s="1021">
        <f t="shared" si="84"/>
        <v>1</v>
      </c>
      <c r="Q61" s="973">
        <f t="shared" si="84"/>
        <v>1</v>
      </c>
      <c r="R61" s="951">
        <f t="shared" si="85"/>
        <v>0</v>
      </c>
      <c r="S61" s="952"/>
      <c r="T61" s="952"/>
      <c r="U61" s="984"/>
      <c r="V61" s="985"/>
      <c r="W61" s="952"/>
      <c r="X61" s="952"/>
      <c r="Y61" s="1035">
        <f t="shared" si="86"/>
        <v>2.1</v>
      </c>
      <c r="Z61" s="956">
        <f t="shared" si="87"/>
        <v>2.1</v>
      </c>
      <c r="AA61" s="1021">
        <f t="shared" si="88"/>
        <v>1</v>
      </c>
      <c r="AB61" s="1069">
        <v>0.2</v>
      </c>
      <c r="AC61" s="1069">
        <v>1</v>
      </c>
      <c r="AD61" s="973">
        <v>0.5</v>
      </c>
      <c r="AE61" s="951">
        <v>0.2</v>
      </c>
      <c r="AF61" s="951">
        <v>0</v>
      </c>
      <c r="AG61" s="1070">
        <v>0</v>
      </c>
      <c r="AH61" s="958">
        <v>202888056</v>
      </c>
      <c r="AI61" s="1070">
        <v>246893921</v>
      </c>
      <c r="AJ61" s="1070">
        <v>349611974</v>
      </c>
      <c r="AK61" s="1070"/>
      <c r="AL61" s="1025" t="e">
        <f t="shared" si="20"/>
        <v>#DIV/0!</v>
      </c>
      <c r="AM61" s="958">
        <v>137225140</v>
      </c>
      <c r="AN61" s="1070">
        <v>39196618</v>
      </c>
      <c r="AO61" s="1070">
        <v>221755948</v>
      </c>
      <c r="AP61" s="1070"/>
      <c r="AQ61" s="1026" t="e">
        <f t="shared" si="21"/>
        <v>#DIV/0!</v>
      </c>
      <c r="AR61" s="958">
        <f t="shared" si="89"/>
        <v>127856026</v>
      </c>
      <c r="AS61" s="987">
        <v>366019106.89999998</v>
      </c>
      <c r="AT61" s="969">
        <v>339219735.20999998</v>
      </c>
      <c r="AU61" s="969">
        <v>207697303</v>
      </c>
      <c r="AV61" s="969">
        <v>207605159</v>
      </c>
      <c r="AW61" s="969">
        <v>127856026</v>
      </c>
      <c r="AX61" s="969">
        <v>127586111</v>
      </c>
      <c r="AY61" s="1027">
        <f t="shared" si="7"/>
        <v>4.8155978193784935E-2</v>
      </c>
      <c r="AZ61" s="1050">
        <v>812044451</v>
      </c>
      <c r="BA61" s="1000">
        <f t="shared" si="22"/>
        <v>799393951</v>
      </c>
      <c r="BB61" s="1026">
        <f t="shared" si="9"/>
        <v>0.98442141931464289</v>
      </c>
      <c r="BC61" s="1029">
        <f t="shared" si="23"/>
        <v>1072588711.21</v>
      </c>
      <c r="BD61" s="973">
        <f t="shared" si="24"/>
        <v>1.3208497513764799</v>
      </c>
      <c r="BE61" s="1030"/>
      <c r="BF61" s="1030"/>
      <c r="BG61" s="952" t="s">
        <v>649</v>
      </c>
      <c r="BH61" s="1072" t="s">
        <v>2150</v>
      </c>
    </row>
    <row r="62" spans="1:64" s="908" customFormat="1" ht="47.4" customHeight="1">
      <c r="A62" s="1064" t="s">
        <v>1925</v>
      </c>
      <c r="B62" s="1072" t="s">
        <v>2242</v>
      </c>
      <c r="C62" s="980" t="s">
        <v>2108</v>
      </c>
      <c r="D62" s="1033">
        <v>0</v>
      </c>
      <c r="E62" s="1033">
        <v>0</v>
      </c>
      <c r="F62" s="1033">
        <v>50</v>
      </c>
      <c r="G62" s="1033">
        <v>50</v>
      </c>
      <c r="H62" s="949">
        <v>0</v>
      </c>
      <c r="I62" s="949" t="s">
        <v>1918</v>
      </c>
      <c r="J62" s="949">
        <v>15</v>
      </c>
      <c r="K62" s="949">
        <v>50</v>
      </c>
      <c r="L62" s="949"/>
      <c r="M62" s="949"/>
      <c r="N62" s="949">
        <v>35</v>
      </c>
      <c r="O62" s="973">
        <f t="shared" si="84"/>
        <v>0</v>
      </c>
      <c r="P62" s="1021">
        <f t="shared" si="84"/>
        <v>0</v>
      </c>
      <c r="Q62" s="973">
        <f t="shared" si="84"/>
        <v>1</v>
      </c>
      <c r="R62" s="951">
        <f t="shared" si="85"/>
        <v>1</v>
      </c>
      <c r="S62" s="953" t="s">
        <v>2243</v>
      </c>
      <c r="T62" s="974">
        <v>45107</v>
      </c>
      <c r="U62" s="984" t="s">
        <v>2115</v>
      </c>
      <c r="V62" s="985"/>
      <c r="W62" s="952" t="s">
        <v>2116</v>
      </c>
      <c r="X62" s="952" t="s">
        <v>2233</v>
      </c>
      <c r="Y62" s="1035">
        <f t="shared" si="86"/>
        <v>100</v>
      </c>
      <c r="Z62" s="956">
        <f t="shared" si="87"/>
        <v>100</v>
      </c>
      <c r="AA62" s="1021">
        <f t="shared" si="88"/>
        <v>1</v>
      </c>
      <c r="AB62" s="1069">
        <v>0.2</v>
      </c>
      <c r="AC62" s="1069">
        <v>0</v>
      </c>
      <c r="AD62" s="973">
        <v>0</v>
      </c>
      <c r="AE62" s="951">
        <v>0.2</v>
      </c>
      <c r="AF62" s="951">
        <v>0.25</v>
      </c>
      <c r="AG62" s="1070">
        <v>400000000</v>
      </c>
      <c r="AH62" s="1070" t="s">
        <v>2120</v>
      </c>
      <c r="AI62" s="1070">
        <v>0</v>
      </c>
      <c r="AJ62" s="1070">
        <v>399655326</v>
      </c>
      <c r="AK62" s="1070">
        <v>400000000</v>
      </c>
      <c r="AL62" s="1025">
        <f t="shared" si="20"/>
        <v>1</v>
      </c>
      <c r="AM62" s="1070" t="s">
        <v>2120</v>
      </c>
      <c r="AN62" s="1070">
        <v>0</v>
      </c>
      <c r="AO62" s="1070">
        <v>78915599</v>
      </c>
      <c r="AP62" s="1070">
        <v>306621560</v>
      </c>
      <c r="AQ62" s="1026">
        <f t="shared" si="21"/>
        <v>0.76655390000000001</v>
      </c>
      <c r="AR62" s="958">
        <f t="shared" si="89"/>
        <v>320739727</v>
      </c>
      <c r="AS62" s="1070">
        <v>0</v>
      </c>
      <c r="AT62" s="1070">
        <v>0</v>
      </c>
      <c r="AU62" s="1070"/>
      <c r="AV62" s="1070"/>
      <c r="AW62" s="1070">
        <v>320739727</v>
      </c>
      <c r="AX62" s="1070">
        <v>320562554</v>
      </c>
      <c r="AY62" s="1027">
        <f t="shared" si="7"/>
        <v>0.81741640317602438</v>
      </c>
      <c r="AZ62" s="1076">
        <v>800000000</v>
      </c>
      <c r="BA62" s="1000">
        <f t="shared" si="22"/>
        <v>799655326</v>
      </c>
      <c r="BB62" s="973">
        <f t="shared" si="9"/>
        <v>0.99956915749999997</v>
      </c>
      <c r="BC62" s="1029">
        <f t="shared" si="23"/>
        <v>706099713</v>
      </c>
      <c r="BD62" s="973">
        <f t="shared" si="24"/>
        <v>0.88262464124999995</v>
      </c>
      <c r="BE62" s="1030"/>
      <c r="BF62" s="1030"/>
      <c r="BG62" s="952" t="s">
        <v>313</v>
      </c>
      <c r="BH62" s="1072" t="s">
        <v>2244</v>
      </c>
    </row>
    <row r="63" spans="1:64" s="908" customFormat="1" ht="47.4" customHeight="1">
      <c r="A63" s="936" t="s">
        <v>2245</v>
      </c>
      <c r="B63" s="937"/>
      <c r="C63" s="937"/>
      <c r="D63" s="938"/>
      <c r="E63" s="938"/>
      <c r="F63" s="938"/>
      <c r="G63" s="938"/>
      <c r="H63" s="938"/>
      <c r="I63" s="938"/>
      <c r="J63" s="938"/>
      <c r="K63" s="938"/>
      <c r="L63" s="938"/>
      <c r="M63" s="938"/>
      <c r="N63" s="938"/>
      <c r="O63" s="939">
        <f>+SUMPRODUCT(O64:O68,AC64:AC68)</f>
        <v>1</v>
      </c>
      <c r="P63" s="939">
        <f t="shared" ref="P63:R63" si="90">+SUMPRODUCT(P64:P68,AD64:AD68)</f>
        <v>1</v>
      </c>
      <c r="Q63" s="939">
        <f t="shared" si="90"/>
        <v>1</v>
      </c>
      <c r="R63" s="939">
        <f t="shared" si="90"/>
        <v>1</v>
      </c>
      <c r="S63" s="937"/>
      <c r="T63" s="937"/>
      <c r="U63" s="1015"/>
      <c r="V63" s="1015"/>
      <c r="W63" s="1015"/>
      <c r="X63" s="937"/>
      <c r="Y63" s="940"/>
      <c r="Z63" s="940">
        <f>SUM(H63:M63)</f>
        <v>0</v>
      </c>
      <c r="AA63" s="1017">
        <f>+SUMPRODUCT(AA64:AA68,AB64:AB68)</f>
        <v>1</v>
      </c>
      <c r="AB63" s="1017">
        <v>0.5</v>
      </c>
      <c r="AC63" s="1017">
        <v>1</v>
      </c>
      <c r="AD63" s="1017">
        <v>0.5</v>
      </c>
      <c r="AE63" s="939">
        <v>0.5</v>
      </c>
      <c r="AF63" s="939">
        <v>0.5</v>
      </c>
      <c r="AG63" s="1016">
        <f>SUM(AG64:AG68)</f>
        <v>750000000</v>
      </c>
      <c r="AH63" s="1016">
        <f>SUM(AH64:AH68)</f>
        <v>1417500000</v>
      </c>
      <c r="AI63" s="1016">
        <f>SUM(AI64:AI68)</f>
        <v>592228644</v>
      </c>
      <c r="AJ63" s="1016">
        <f>SUM(AJ64:AJ68)</f>
        <v>918979849</v>
      </c>
      <c r="AK63" s="1016">
        <f>SUM(AK64:AK68)</f>
        <v>750000000</v>
      </c>
      <c r="AL63" s="1040">
        <f t="shared" si="20"/>
        <v>1</v>
      </c>
      <c r="AM63" s="1016">
        <f>SUM(AM64:AM68)</f>
        <v>42500000</v>
      </c>
      <c r="AN63" s="1016">
        <f>SUM(AN64:AN68)</f>
        <v>585748345</v>
      </c>
      <c r="AO63" s="1016">
        <f>SUM(AO64:AO68)</f>
        <v>913626558</v>
      </c>
      <c r="AP63" s="1016">
        <f>SUM(AP64:AP68)</f>
        <v>696317512</v>
      </c>
      <c r="AQ63" s="1045">
        <f t="shared" si="21"/>
        <v>0.92842334933333337</v>
      </c>
      <c r="AR63" s="1042">
        <f t="shared" ref="AR63:AX63" si="91">SUM(AR64:AR68)</f>
        <v>5353291</v>
      </c>
      <c r="AS63" s="1016">
        <f t="shared" si="91"/>
        <v>1375000000</v>
      </c>
      <c r="AT63" s="1016">
        <f t="shared" si="91"/>
        <v>1375000000</v>
      </c>
      <c r="AU63" s="1016">
        <f t="shared" si="91"/>
        <v>6480299</v>
      </c>
      <c r="AV63" s="1016">
        <f t="shared" si="91"/>
        <v>6249939</v>
      </c>
      <c r="AW63" s="1016">
        <f t="shared" si="91"/>
        <v>5353291</v>
      </c>
      <c r="AX63" s="1016">
        <f t="shared" si="91"/>
        <v>4641676</v>
      </c>
      <c r="AY63" s="1043">
        <f t="shared" si="7"/>
        <v>23.833210449422609</v>
      </c>
      <c r="AZ63" s="1016">
        <f>SUM(AZ64:AZ68)</f>
        <v>3690000000</v>
      </c>
      <c r="BA63" s="1016">
        <f t="shared" si="22"/>
        <v>3678708493</v>
      </c>
      <c r="BB63" s="1017">
        <f t="shared" si="9"/>
        <v>0.99693997100271003</v>
      </c>
      <c r="BC63" s="1018">
        <f t="shared" si="23"/>
        <v>3624084030</v>
      </c>
      <c r="BD63" s="1017">
        <f t="shared" si="24"/>
        <v>0.98213659349593496</v>
      </c>
      <c r="BE63" s="945"/>
      <c r="BF63" s="945"/>
      <c r="BG63" s="945"/>
      <c r="BH63" s="945"/>
      <c r="BI63" s="908" t="s">
        <v>2103</v>
      </c>
    </row>
    <row r="64" spans="1:64" s="908" customFormat="1" ht="53.25" hidden="1" customHeight="1">
      <c r="A64" s="1077" t="s">
        <v>2246</v>
      </c>
      <c r="B64" s="1078" t="s">
        <v>2247</v>
      </c>
      <c r="C64" s="980" t="s">
        <v>2108</v>
      </c>
      <c r="D64" s="1033">
        <v>1</v>
      </c>
      <c r="E64" s="1033">
        <v>0</v>
      </c>
      <c r="F64" s="1033">
        <v>0</v>
      </c>
      <c r="G64" s="1033">
        <v>0</v>
      </c>
      <c r="H64" s="949">
        <v>0</v>
      </c>
      <c r="I64" s="949" t="s">
        <v>1918</v>
      </c>
      <c r="J64" s="949"/>
      <c r="K64" s="949"/>
      <c r="L64" s="950">
        <v>1</v>
      </c>
      <c r="M64" s="950"/>
      <c r="N64" s="950"/>
      <c r="O64" s="973">
        <f t="shared" ref="O64:Q68" si="92">+IFERROR(IF((H64+L64)/D64&gt;=100%,100%,(H64+L64)/D64),0)</f>
        <v>1</v>
      </c>
      <c r="P64" s="1021">
        <f t="shared" si="92"/>
        <v>0</v>
      </c>
      <c r="Q64" s="1021">
        <f t="shared" si="92"/>
        <v>0</v>
      </c>
      <c r="R64" s="1021">
        <f t="shared" ref="R64:R68" si="93">+IFERROR(IF(K64/G64&gt;=100%,100%,K64/G64),0)</f>
        <v>0</v>
      </c>
      <c r="S64" s="952"/>
      <c r="T64" s="952"/>
      <c r="U64" s="984"/>
      <c r="V64" s="985"/>
      <c r="W64" s="952"/>
      <c r="X64" s="952"/>
      <c r="Y64" s="1035">
        <f t="shared" ref="Y64:Y68" si="94">SUM(D64:G64)</f>
        <v>1</v>
      </c>
      <c r="Z64" s="956">
        <f t="shared" ref="Z64:Z68" si="95">SUM(H64:N64)</f>
        <v>1</v>
      </c>
      <c r="AA64" s="1021">
        <f>IF(Z64/Y64&gt;=100%,100%,Z64/Y64)</f>
        <v>1</v>
      </c>
      <c r="AB64" s="1079">
        <v>0.1</v>
      </c>
      <c r="AC64" s="1079">
        <v>0.15</v>
      </c>
      <c r="AD64" s="973">
        <v>0</v>
      </c>
      <c r="AE64" s="951">
        <v>0</v>
      </c>
      <c r="AF64" s="951">
        <v>0</v>
      </c>
      <c r="AG64" s="1080">
        <v>0</v>
      </c>
      <c r="AH64" s="958">
        <v>300000000</v>
      </c>
      <c r="AI64" s="958">
        <v>0</v>
      </c>
      <c r="AJ64" s="958">
        <v>0</v>
      </c>
      <c r="AK64" s="958"/>
      <c r="AL64" s="1025" t="e">
        <f t="shared" si="20"/>
        <v>#DIV/0!</v>
      </c>
      <c r="AM64" s="958">
        <v>0</v>
      </c>
      <c r="AN64" s="958">
        <v>0</v>
      </c>
      <c r="AO64" s="958"/>
      <c r="AP64" s="958"/>
      <c r="AQ64" s="1026" t="e">
        <f t="shared" si="21"/>
        <v>#DIV/0!</v>
      </c>
      <c r="AR64" s="958">
        <f t="shared" ref="AR64:AR68" si="96">+AJ64-AO64</f>
        <v>0</v>
      </c>
      <c r="AS64" s="958">
        <v>300000000</v>
      </c>
      <c r="AT64" s="958">
        <v>300000000</v>
      </c>
      <c r="AU64" s="958"/>
      <c r="AV64" s="958"/>
      <c r="AW64" s="958"/>
      <c r="AX64" s="958"/>
      <c r="AY64" s="1027" t="e">
        <f t="shared" si="7"/>
        <v>#DIV/0!</v>
      </c>
      <c r="AZ64" s="1071">
        <v>300000000</v>
      </c>
      <c r="BA64" s="1000">
        <f t="shared" si="22"/>
        <v>300000000</v>
      </c>
      <c r="BB64" s="1026">
        <f t="shared" si="9"/>
        <v>1</v>
      </c>
      <c r="BC64" s="1029">
        <f t="shared" si="23"/>
        <v>300000000</v>
      </c>
      <c r="BD64" s="973">
        <f t="shared" si="24"/>
        <v>1</v>
      </c>
      <c r="BE64" s="1030"/>
      <c r="BF64" s="1030"/>
      <c r="BG64" s="953" t="s">
        <v>1703</v>
      </c>
      <c r="BH64" s="1081" t="s">
        <v>2248</v>
      </c>
      <c r="BI64" s="908" t="s">
        <v>2103</v>
      </c>
    </row>
    <row r="65" spans="1:61" s="908" customFormat="1" ht="47.4" customHeight="1">
      <c r="A65" s="1077" t="s">
        <v>1845</v>
      </c>
      <c r="B65" s="1081" t="s">
        <v>550</v>
      </c>
      <c r="C65" s="980" t="s">
        <v>2108</v>
      </c>
      <c r="D65" s="1033">
        <v>0</v>
      </c>
      <c r="E65" s="1033">
        <v>2</v>
      </c>
      <c r="F65" s="1033">
        <v>2</v>
      </c>
      <c r="G65" s="1033">
        <v>2</v>
      </c>
      <c r="H65" s="949">
        <v>0</v>
      </c>
      <c r="I65" s="949">
        <v>2</v>
      </c>
      <c r="J65" s="949">
        <v>2</v>
      </c>
      <c r="K65" s="949">
        <v>2</v>
      </c>
      <c r="L65" s="949"/>
      <c r="M65" s="949"/>
      <c r="N65" s="949"/>
      <c r="O65" s="973">
        <f t="shared" si="92"/>
        <v>0</v>
      </c>
      <c r="P65" s="973">
        <f t="shared" si="92"/>
        <v>1</v>
      </c>
      <c r="Q65" s="973">
        <f t="shared" si="92"/>
        <v>1</v>
      </c>
      <c r="R65" s="951">
        <f t="shared" si="93"/>
        <v>1</v>
      </c>
      <c r="S65" s="952" t="s">
        <v>2249</v>
      </c>
      <c r="T65" s="974">
        <v>45107</v>
      </c>
      <c r="U65" s="984" t="s">
        <v>2115</v>
      </c>
      <c r="V65" s="985"/>
      <c r="W65" s="952" t="s">
        <v>2116</v>
      </c>
      <c r="X65" s="952" t="s">
        <v>2250</v>
      </c>
      <c r="Y65" s="1035">
        <f t="shared" si="94"/>
        <v>6</v>
      </c>
      <c r="Z65" s="956">
        <f t="shared" si="95"/>
        <v>6</v>
      </c>
      <c r="AA65" s="1021">
        <f t="shared" ref="AA65:AA68" si="97">IF(Z65/Y65&gt;=100%,100%,Z65/Y65)</f>
        <v>1</v>
      </c>
      <c r="AB65" s="1079">
        <v>0.2</v>
      </c>
      <c r="AC65" s="1079">
        <v>0</v>
      </c>
      <c r="AD65" s="973">
        <v>0.5</v>
      </c>
      <c r="AE65" s="951">
        <v>0.3</v>
      </c>
      <c r="AF65" s="951">
        <v>0.45</v>
      </c>
      <c r="AG65" s="1082">
        <v>300000000</v>
      </c>
      <c r="AH65" s="1070" t="s">
        <v>2120</v>
      </c>
      <c r="AI65" s="958">
        <v>296110717</v>
      </c>
      <c r="AJ65" s="958">
        <v>299667241</v>
      </c>
      <c r="AK65" s="958">
        <v>300000000</v>
      </c>
      <c r="AL65" s="1025">
        <f t="shared" si="20"/>
        <v>1</v>
      </c>
      <c r="AM65" s="1070" t="s">
        <v>2120</v>
      </c>
      <c r="AN65" s="958">
        <v>292869958</v>
      </c>
      <c r="AO65" s="958">
        <v>298357533</v>
      </c>
      <c r="AP65" s="958">
        <v>251570765</v>
      </c>
      <c r="AQ65" s="1026">
        <f t="shared" si="21"/>
        <v>0.83856921666666662</v>
      </c>
      <c r="AR65" s="958">
        <f t="shared" si="96"/>
        <v>1309708</v>
      </c>
      <c r="AS65" s="1070" t="s">
        <v>2120</v>
      </c>
      <c r="AT65" s="958">
        <v>0</v>
      </c>
      <c r="AU65" s="1070">
        <v>3240759</v>
      </c>
      <c r="AV65" s="1070">
        <v>3125579</v>
      </c>
      <c r="AW65" s="1070">
        <v>1309708</v>
      </c>
      <c r="AX65" s="1070">
        <v>1077915</v>
      </c>
      <c r="AY65" s="1027">
        <f t="shared" si="7"/>
        <v>3.5440540945004537</v>
      </c>
      <c r="AZ65" s="1071">
        <v>900000000</v>
      </c>
      <c r="BA65" s="1000">
        <f t="shared" si="22"/>
        <v>895777958</v>
      </c>
      <c r="BB65" s="973">
        <f t="shared" si="9"/>
        <v>0.99530884222222227</v>
      </c>
      <c r="BC65" s="1029">
        <f t="shared" si="23"/>
        <v>847001750</v>
      </c>
      <c r="BD65" s="973">
        <f t="shared" si="24"/>
        <v>0.94111305555555558</v>
      </c>
      <c r="BE65" s="1030"/>
      <c r="BF65" s="1030"/>
      <c r="BG65" s="953" t="s">
        <v>525</v>
      </c>
      <c r="BH65" s="1081" t="s">
        <v>2248</v>
      </c>
      <c r="BI65" s="908" t="s">
        <v>2103</v>
      </c>
    </row>
    <row r="66" spans="1:61" s="908" customFormat="1" ht="78.75" hidden="1" customHeight="1">
      <c r="A66" s="1077" t="s">
        <v>2251</v>
      </c>
      <c r="B66" s="1081" t="s">
        <v>2252</v>
      </c>
      <c r="C66" s="980" t="s">
        <v>2108</v>
      </c>
      <c r="D66" s="1033">
        <v>1</v>
      </c>
      <c r="E66" s="1033">
        <v>2</v>
      </c>
      <c r="F66" s="1033">
        <v>1</v>
      </c>
      <c r="G66" s="1033">
        <v>0</v>
      </c>
      <c r="H66" s="949">
        <v>0</v>
      </c>
      <c r="I66" s="949">
        <v>2</v>
      </c>
      <c r="J66" s="949">
        <v>1</v>
      </c>
      <c r="K66" s="950"/>
      <c r="L66" s="950">
        <v>1</v>
      </c>
      <c r="M66" s="950"/>
      <c r="N66" s="950"/>
      <c r="O66" s="973">
        <f t="shared" si="92"/>
        <v>1</v>
      </c>
      <c r="P66" s="973">
        <f t="shared" si="92"/>
        <v>1</v>
      </c>
      <c r="Q66" s="973">
        <f t="shared" si="92"/>
        <v>1</v>
      </c>
      <c r="R66" s="951">
        <f t="shared" si="93"/>
        <v>0</v>
      </c>
      <c r="S66" s="952"/>
      <c r="T66" s="952"/>
      <c r="U66" s="984"/>
      <c r="V66" s="985"/>
      <c r="W66" s="952"/>
      <c r="X66" s="952"/>
      <c r="Y66" s="1035">
        <f t="shared" si="94"/>
        <v>4</v>
      </c>
      <c r="Z66" s="956">
        <f t="shared" si="95"/>
        <v>4</v>
      </c>
      <c r="AA66" s="1021">
        <f t="shared" si="97"/>
        <v>1</v>
      </c>
      <c r="AB66" s="1079">
        <v>0.2</v>
      </c>
      <c r="AC66" s="1079">
        <v>0.25</v>
      </c>
      <c r="AD66" s="973">
        <v>0.5</v>
      </c>
      <c r="AE66" s="951">
        <v>0.3</v>
      </c>
      <c r="AF66" s="951">
        <v>0</v>
      </c>
      <c r="AG66" s="1082">
        <v>0</v>
      </c>
      <c r="AH66" s="958">
        <v>220000000</v>
      </c>
      <c r="AI66" s="958">
        <v>296117927</v>
      </c>
      <c r="AJ66" s="958">
        <v>219755901</v>
      </c>
      <c r="AK66" s="958">
        <v>0</v>
      </c>
      <c r="AL66" s="1025" t="e">
        <f t="shared" si="20"/>
        <v>#DIV/0!</v>
      </c>
      <c r="AM66" s="958">
        <v>0</v>
      </c>
      <c r="AN66" s="958">
        <v>292878387</v>
      </c>
      <c r="AO66" s="958">
        <v>218254661</v>
      </c>
      <c r="AP66" s="958"/>
      <c r="AQ66" s="1026" t="e">
        <f t="shared" si="21"/>
        <v>#DIV/0!</v>
      </c>
      <c r="AR66" s="958">
        <f t="shared" si="96"/>
        <v>1501240</v>
      </c>
      <c r="AS66" s="958">
        <v>220000000</v>
      </c>
      <c r="AT66" s="958">
        <v>220000000</v>
      </c>
      <c r="AU66" s="958">
        <v>3239540</v>
      </c>
      <c r="AV66" s="958">
        <v>3124360</v>
      </c>
      <c r="AW66" s="958">
        <v>1501240</v>
      </c>
      <c r="AX66" s="958">
        <v>1331454</v>
      </c>
      <c r="AY66" s="1027">
        <f t="shared" si="7"/>
        <v>0</v>
      </c>
      <c r="AZ66" s="1071">
        <v>740000000</v>
      </c>
      <c r="BA66" s="1000">
        <f t="shared" si="22"/>
        <v>735873828</v>
      </c>
      <c r="BB66" s="1026">
        <f t="shared" si="9"/>
        <v>0.99442409189189185</v>
      </c>
      <c r="BC66" s="1029">
        <f t="shared" si="23"/>
        <v>735588862</v>
      </c>
      <c r="BD66" s="973">
        <f t="shared" si="24"/>
        <v>0.99403900270270273</v>
      </c>
      <c r="BE66" s="1030"/>
      <c r="BF66" s="1030"/>
      <c r="BG66" s="953" t="s">
        <v>1703</v>
      </c>
      <c r="BH66" s="1081" t="s">
        <v>2253</v>
      </c>
      <c r="BI66" s="908" t="s">
        <v>2103</v>
      </c>
    </row>
    <row r="67" spans="1:61" s="908" customFormat="1" ht="40.5" hidden="1" customHeight="1">
      <c r="A67" s="1077" t="s">
        <v>2254</v>
      </c>
      <c r="B67" s="1081" t="s">
        <v>2255</v>
      </c>
      <c r="C67" s="980" t="s">
        <v>2108</v>
      </c>
      <c r="D67" s="1033">
        <v>1</v>
      </c>
      <c r="E67" s="1033">
        <v>0</v>
      </c>
      <c r="F67" s="1033">
        <v>0</v>
      </c>
      <c r="G67" s="1033">
        <v>0</v>
      </c>
      <c r="H67" s="949">
        <v>0</v>
      </c>
      <c r="I67" s="949" t="s">
        <v>1918</v>
      </c>
      <c r="J67" s="949"/>
      <c r="K67" s="950"/>
      <c r="L67" s="950">
        <v>1</v>
      </c>
      <c r="M67" s="950"/>
      <c r="N67" s="950"/>
      <c r="O67" s="973">
        <f t="shared" si="92"/>
        <v>1</v>
      </c>
      <c r="P67" s="1021">
        <f t="shared" si="92"/>
        <v>0</v>
      </c>
      <c r="Q67" s="1021">
        <f t="shared" si="92"/>
        <v>0</v>
      </c>
      <c r="R67" s="1021">
        <f t="shared" si="93"/>
        <v>0</v>
      </c>
      <c r="S67" s="952"/>
      <c r="T67" s="952"/>
      <c r="U67" s="984"/>
      <c r="V67" s="985"/>
      <c r="W67" s="952"/>
      <c r="X67" s="952"/>
      <c r="Y67" s="1035">
        <f t="shared" si="94"/>
        <v>1</v>
      </c>
      <c r="Z67" s="956">
        <f t="shared" si="95"/>
        <v>1</v>
      </c>
      <c r="AA67" s="1021">
        <f t="shared" si="97"/>
        <v>1</v>
      </c>
      <c r="AB67" s="1079">
        <v>0.2</v>
      </c>
      <c r="AC67" s="1079">
        <v>0.25</v>
      </c>
      <c r="AD67" s="973">
        <v>0</v>
      </c>
      <c r="AE67" s="951">
        <v>0</v>
      </c>
      <c r="AF67" s="951">
        <v>0</v>
      </c>
      <c r="AG67" s="1080">
        <v>0</v>
      </c>
      <c r="AH67" s="958">
        <v>500000000</v>
      </c>
      <c r="AI67" s="958">
        <v>0</v>
      </c>
      <c r="AJ67" s="958"/>
      <c r="AK67" s="958"/>
      <c r="AL67" s="1025" t="e">
        <f t="shared" si="20"/>
        <v>#DIV/0!</v>
      </c>
      <c r="AM67" s="958">
        <v>25000000</v>
      </c>
      <c r="AN67" s="958">
        <v>0</v>
      </c>
      <c r="AO67" s="958"/>
      <c r="AP67" s="958"/>
      <c r="AQ67" s="1026" t="e">
        <f t="shared" si="21"/>
        <v>#DIV/0!</v>
      </c>
      <c r="AR67" s="958">
        <f t="shared" si="96"/>
        <v>0</v>
      </c>
      <c r="AS67" s="958">
        <v>475000000</v>
      </c>
      <c r="AT67" s="958">
        <v>475000000</v>
      </c>
      <c r="AU67" s="958"/>
      <c r="AV67" s="958"/>
      <c r="AW67" s="958"/>
      <c r="AX67" s="958"/>
      <c r="AY67" s="1027" t="e">
        <f t="shared" si="7"/>
        <v>#DIV/0!</v>
      </c>
      <c r="AZ67" s="1071">
        <v>500000000</v>
      </c>
      <c r="BA67" s="1000">
        <f t="shared" si="22"/>
        <v>500000000</v>
      </c>
      <c r="BB67" s="1026">
        <f t="shared" si="9"/>
        <v>1</v>
      </c>
      <c r="BC67" s="1029">
        <f t="shared" si="23"/>
        <v>500000000</v>
      </c>
      <c r="BD67" s="973">
        <f t="shared" si="24"/>
        <v>1</v>
      </c>
      <c r="BE67" s="1030"/>
      <c r="BF67" s="1030"/>
      <c r="BG67" s="953" t="s">
        <v>1703</v>
      </c>
      <c r="BH67" s="1081" t="s">
        <v>2256</v>
      </c>
      <c r="BI67" s="908" t="s">
        <v>2103</v>
      </c>
    </row>
    <row r="68" spans="1:61" s="908" customFormat="1" ht="47.4" customHeight="1">
      <c r="A68" s="1077" t="s">
        <v>1844</v>
      </c>
      <c r="B68" s="1081" t="s">
        <v>2257</v>
      </c>
      <c r="C68" s="980" t="s">
        <v>2108</v>
      </c>
      <c r="D68" s="1033">
        <v>2</v>
      </c>
      <c r="E68" s="1033">
        <v>0</v>
      </c>
      <c r="F68" s="1033">
        <v>2</v>
      </c>
      <c r="G68" s="1033">
        <v>3</v>
      </c>
      <c r="H68" s="949">
        <v>0</v>
      </c>
      <c r="I68" s="949" t="s">
        <v>1918</v>
      </c>
      <c r="J68" s="949">
        <v>2</v>
      </c>
      <c r="K68" s="981">
        <v>3</v>
      </c>
      <c r="L68" s="949">
        <v>2</v>
      </c>
      <c r="M68" s="949"/>
      <c r="N68" s="949"/>
      <c r="O68" s="951">
        <f t="shared" si="92"/>
        <v>1</v>
      </c>
      <c r="P68" s="1021">
        <f t="shared" si="92"/>
        <v>0</v>
      </c>
      <c r="Q68" s="973">
        <f t="shared" si="92"/>
        <v>1</v>
      </c>
      <c r="R68" s="951">
        <f t="shared" si="93"/>
        <v>1</v>
      </c>
      <c r="S68" s="988" t="s">
        <v>2258</v>
      </c>
      <c r="T68" s="974">
        <v>45107</v>
      </c>
      <c r="U68" s="984" t="s">
        <v>2115</v>
      </c>
      <c r="V68" s="985"/>
      <c r="W68" s="952" t="s">
        <v>2116</v>
      </c>
      <c r="X68" s="952" t="s">
        <v>2250</v>
      </c>
      <c r="Y68" s="956">
        <f t="shared" si="94"/>
        <v>7</v>
      </c>
      <c r="Z68" s="956">
        <f t="shared" si="95"/>
        <v>7</v>
      </c>
      <c r="AA68" s="957">
        <f t="shared" si="97"/>
        <v>1</v>
      </c>
      <c r="AB68" s="1079">
        <v>0.3</v>
      </c>
      <c r="AC68" s="1079">
        <v>0.35</v>
      </c>
      <c r="AD68" s="951">
        <v>0</v>
      </c>
      <c r="AE68" s="951">
        <v>0.4</v>
      </c>
      <c r="AF68" s="951">
        <v>0.55000000000000004</v>
      </c>
      <c r="AG68" s="1080">
        <v>450000000</v>
      </c>
      <c r="AH68" s="958">
        <v>397500000</v>
      </c>
      <c r="AI68" s="958">
        <v>0</v>
      </c>
      <c r="AJ68" s="958">
        <v>399556707</v>
      </c>
      <c r="AK68" s="958">
        <v>450000000</v>
      </c>
      <c r="AL68" s="959">
        <f t="shared" si="20"/>
        <v>1</v>
      </c>
      <c r="AM68" s="958">
        <v>17500000</v>
      </c>
      <c r="AN68" s="958">
        <v>0</v>
      </c>
      <c r="AO68" s="958">
        <v>397014364</v>
      </c>
      <c r="AP68" s="958">
        <v>444746747</v>
      </c>
      <c r="AQ68" s="1083">
        <f t="shared" si="21"/>
        <v>0.98832610444444446</v>
      </c>
      <c r="AR68" s="958">
        <f t="shared" si="96"/>
        <v>2542343</v>
      </c>
      <c r="AS68" s="958">
        <v>380000000</v>
      </c>
      <c r="AT68" s="958">
        <v>380000000</v>
      </c>
      <c r="AU68" s="958"/>
      <c r="AV68" s="958"/>
      <c r="AW68" s="958">
        <v>2542343</v>
      </c>
      <c r="AX68" s="958">
        <v>2232307</v>
      </c>
      <c r="AY68" s="999">
        <f t="shared" si="7"/>
        <v>0.5237113953546001</v>
      </c>
      <c r="AZ68" s="1084">
        <v>1250000000</v>
      </c>
      <c r="BA68" s="1000">
        <f t="shared" si="22"/>
        <v>1247056707</v>
      </c>
      <c r="BB68" s="973">
        <f t="shared" si="9"/>
        <v>0.99764536559999994</v>
      </c>
      <c r="BC68" s="1029">
        <f t="shared" si="23"/>
        <v>1241493418</v>
      </c>
      <c r="BD68" s="973">
        <f t="shared" si="24"/>
        <v>0.99319473439999995</v>
      </c>
      <c r="BE68" s="969"/>
      <c r="BF68" s="969"/>
      <c r="BG68" s="953" t="s">
        <v>479</v>
      </c>
      <c r="BH68" s="1081" t="s">
        <v>2253</v>
      </c>
      <c r="BI68" s="908" t="s">
        <v>2103</v>
      </c>
    </row>
    <row r="69" spans="1:61" s="935" customFormat="1" ht="47.4" customHeight="1">
      <c r="A69" s="925" t="s">
        <v>2259</v>
      </c>
      <c r="B69" s="926"/>
      <c r="C69" s="926"/>
      <c r="D69" s="927"/>
      <c r="E69" s="927"/>
      <c r="F69" s="927"/>
      <c r="G69" s="927"/>
      <c r="H69" s="927"/>
      <c r="I69" s="927"/>
      <c r="J69" s="927"/>
      <c r="K69" s="927"/>
      <c r="L69" s="927"/>
      <c r="M69" s="927"/>
      <c r="N69" s="927"/>
      <c r="O69" s="930">
        <f>+(O70*AC70)+(O73*AC73)+(O75*AC75)</f>
        <v>0.8</v>
      </c>
      <c r="P69" s="930">
        <f t="shared" ref="P69:R69" si="98">+(P70*AD70)+(P73*AD73)+(P75*AD75)</f>
        <v>0.3</v>
      </c>
      <c r="Q69" s="930">
        <f t="shared" si="98"/>
        <v>1</v>
      </c>
      <c r="R69" s="930">
        <f t="shared" si="98"/>
        <v>1</v>
      </c>
      <c r="S69" s="926"/>
      <c r="T69" s="1085"/>
      <c r="U69" s="926"/>
      <c r="V69" s="926"/>
      <c r="W69" s="926"/>
      <c r="X69" s="926"/>
      <c r="Y69" s="929"/>
      <c r="Z69" s="929"/>
      <c r="AA69" s="928">
        <f>+(AA70*AB70)+(AA73*AB73)+(AA75*AB75)</f>
        <v>0.96</v>
      </c>
      <c r="AB69" s="928">
        <v>0.3</v>
      </c>
      <c r="AC69" s="928">
        <v>0.3</v>
      </c>
      <c r="AD69" s="928">
        <v>0.3</v>
      </c>
      <c r="AE69" s="928">
        <v>0.3</v>
      </c>
      <c r="AF69" s="928">
        <v>0.3</v>
      </c>
      <c r="AG69" s="926">
        <f>+AG70+AG73+AG75</f>
        <v>2050000000</v>
      </c>
      <c r="AH69" s="926">
        <f>+AH70+AH73+AH75</f>
        <v>837503911</v>
      </c>
      <c r="AI69" s="926">
        <f>+AI70+AI73+AI75</f>
        <v>620295093.20000005</v>
      </c>
      <c r="AJ69" s="926">
        <f>+AJ70+AJ73+AJ75</f>
        <v>1282434799</v>
      </c>
      <c r="AK69" s="926">
        <f>+AK70+AK73+AK75</f>
        <v>2014000000</v>
      </c>
      <c r="AL69" s="931">
        <f t="shared" si="20"/>
        <v>0.98243902439024389</v>
      </c>
      <c r="AM69" s="926">
        <f>+AM70+AM73+AM75</f>
        <v>815040611</v>
      </c>
      <c r="AN69" s="926">
        <f>+AN70+AN73+AN75</f>
        <v>272712026</v>
      </c>
      <c r="AO69" s="926">
        <f>+AO70+AO73+AO75</f>
        <v>1269974824</v>
      </c>
      <c r="AP69" s="926">
        <f>+AP70+AP73+AP75</f>
        <v>688926000</v>
      </c>
      <c r="AQ69" s="1086">
        <f t="shared" si="21"/>
        <v>0.33606146341463417</v>
      </c>
      <c r="AR69" s="926">
        <f t="shared" ref="AR69:AX69" si="99">+AR70+AR73+AR75</f>
        <v>12459975</v>
      </c>
      <c r="AS69" s="926">
        <f t="shared" si="99"/>
        <v>22463300</v>
      </c>
      <c r="AT69" s="926">
        <f t="shared" si="99"/>
        <v>20152235</v>
      </c>
      <c r="AU69" s="926">
        <f t="shared" si="99"/>
        <v>347583067.19999999</v>
      </c>
      <c r="AV69" s="926">
        <f t="shared" si="99"/>
        <v>126895135</v>
      </c>
      <c r="AW69" s="926">
        <f t="shared" si="99"/>
        <v>12459975</v>
      </c>
      <c r="AX69" s="926">
        <f t="shared" si="99"/>
        <v>10549817</v>
      </c>
      <c r="AY69" s="934">
        <f t="shared" si="7"/>
        <v>0</v>
      </c>
      <c r="AZ69" s="926">
        <f t="shared" ref="AZ69" si="100">+AZ70+AZ73+AZ75</f>
        <v>4920028662</v>
      </c>
      <c r="BA69" s="926">
        <f t="shared" si="22"/>
        <v>4754233803.1999998</v>
      </c>
      <c r="BB69" s="1087">
        <f t="shared" si="9"/>
        <v>0.96630205427856097</v>
      </c>
      <c r="BC69" s="1088">
        <f t="shared" si="23"/>
        <v>3204250648</v>
      </c>
      <c r="BD69" s="1087">
        <f t="shared" si="24"/>
        <v>0.65126666288514401</v>
      </c>
      <c r="BE69" s="926"/>
      <c r="BF69" s="926" t="s">
        <v>1700</v>
      </c>
      <c r="BG69" s="926"/>
      <c r="BH69" s="926"/>
      <c r="BI69" s="935" t="s">
        <v>2103</v>
      </c>
    </row>
    <row r="70" spans="1:61" s="908" customFormat="1" ht="52.5" hidden="1" customHeight="1">
      <c r="A70" s="936" t="s">
        <v>2260</v>
      </c>
      <c r="B70" s="937"/>
      <c r="C70" s="937"/>
      <c r="D70" s="938"/>
      <c r="E70" s="938"/>
      <c r="F70" s="938"/>
      <c r="G70" s="938"/>
      <c r="H70" s="938"/>
      <c r="I70" s="938"/>
      <c r="J70" s="938"/>
      <c r="K70" s="938"/>
      <c r="L70" s="938"/>
      <c r="M70" s="938"/>
      <c r="N70" s="938"/>
      <c r="O70" s="939">
        <f>+SUMPRODUCT(O71:O72,AC71:AC72)</f>
        <v>0</v>
      </c>
      <c r="P70" s="939">
        <f t="shared" ref="P70:R70" si="101">+SUMPRODUCT(P71:P72,AD71:AD72)</f>
        <v>1</v>
      </c>
      <c r="Q70" s="939">
        <f t="shared" si="101"/>
        <v>1</v>
      </c>
      <c r="R70" s="939">
        <f t="shared" si="101"/>
        <v>1</v>
      </c>
      <c r="S70" s="937"/>
      <c r="T70" s="1085"/>
      <c r="U70" s="937"/>
      <c r="V70" s="937"/>
      <c r="W70" s="937"/>
      <c r="X70" s="937"/>
      <c r="Y70" s="940"/>
      <c r="Z70" s="940"/>
      <c r="AA70" s="939">
        <f>+SUMPRODUCT(AA71:AA72,AB71:AB72)</f>
        <v>1</v>
      </c>
      <c r="AB70" s="939">
        <v>0.3</v>
      </c>
      <c r="AC70" s="939">
        <v>0</v>
      </c>
      <c r="AD70" s="939">
        <v>0.3</v>
      </c>
      <c r="AE70" s="939">
        <v>0.3</v>
      </c>
      <c r="AF70" s="939">
        <v>0.3</v>
      </c>
      <c r="AG70" s="937">
        <f>+SUM(AG71:AG72)</f>
        <v>450000000</v>
      </c>
      <c r="AH70" s="937">
        <f>SUM(AH71:AH72)</f>
        <v>0</v>
      </c>
      <c r="AI70" s="937">
        <f>SUM(AI71:AI72)</f>
        <v>98322560</v>
      </c>
      <c r="AJ70" s="937">
        <f>SUM(AJ71:AJ72)</f>
        <v>533159966</v>
      </c>
      <c r="AK70" s="937">
        <f>+SUM(AK71:AK72)</f>
        <v>450000000</v>
      </c>
      <c r="AL70" s="943">
        <f t="shared" si="20"/>
        <v>1</v>
      </c>
      <c r="AM70" s="937">
        <f>SUM(AM71:AM72)</f>
        <v>0</v>
      </c>
      <c r="AN70" s="937">
        <f>SUM(AN71:AN72)</f>
        <v>7145145</v>
      </c>
      <c r="AO70" s="937">
        <f>SUM(AO71:AO72)</f>
        <v>523928564</v>
      </c>
      <c r="AP70" s="937">
        <f>+SUM(AP71:AP72)</f>
        <v>338926000</v>
      </c>
      <c r="AQ70" s="1045">
        <f t="shared" si="21"/>
        <v>0.75316888888888889</v>
      </c>
      <c r="AR70" s="1042">
        <f t="shared" ref="AR70:AX70" si="102">SUM(AR71:AR72)</f>
        <v>9231402</v>
      </c>
      <c r="AS70" s="1016">
        <f t="shared" si="102"/>
        <v>0</v>
      </c>
      <c r="AT70" s="1016">
        <f t="shared" si="102"/>
        <v>0</v>
      </c>
      <c r="AU70" s="1016">
        <f t="shared" si="102"/>
        <v>91177415</v>
      </c>
      <c r="AV70" s="1016">
        <f t="shared" si="102"/>
        <v>91131343</v>
      </c>
      <c r="AW70" s="1016">
        <f t="shared" si="102"/>
        <v>9231402</v>
      </c>
      <c r="AX70" s="1016">
        <f t="shared" si="102"/>
        <v>8758852</v>
      </c>
      <c r="AY70" s="1043">
        <f t="shared" si="7"/>
        <v>0.24181668179979596</v>
      </c>
      <c r="AZ70" s="1016">
        <f t="shared" ref="AZ70" si="103">SUM(AZ71:AZ72)</f>
        <v>1100000000</v>
      </c>
      <c r="BA70" s="1016">
        <f t="shared" si="22"/>
        <v>1081482526</v>
      </c>
      <c r="BB70" s="1017">
        <f t="shared" si="9"/>
        <v>0.98316593272727271</v>
      </c>
      <c r="BC70" s="1018">
        <f t="shared" si="23"/>
        <v>969889904</v>
      </c>
      <c r="BD70" s="1017">
        <f t="shared" si="24"/>
        <v>0.88171809454545458</v>
      </c>
      <c r="BE70" s="945"/>
      <c r="BF70" s="945"/>
      <c r="BG70" s="945"/>
      <c r="BH70" s="945"/>
      <c r="BI70" s="908" t="s">
        <v>2103</v>
      </c>
    </row>
    <row r="71" spans="1:61" s="908" customFormat="1" ht="47.4" customHeight="1">
      <c r="A71" s="1089" t="s">
        <v>2261</v>
      </c>
      <c r="B71" s="1090" t="s">
        <v>2262</v>
      </c>
      <c r="C71" s="980" t="s">
        <v>2108</v>
      </c>
      <c r="D71" s="1033">
        <v>0</v>
      </c>
      <c r="E71" s="1033">
        <v>1</v>
      </c>
      <c r="F71" s="1033">
        <v>1</v>
      </c>
      <c r="G71" s="1033">
        <v>1</v>
      </c>
      <c r="H71" s="949">
        <v>0</v>
      </c>
      <c r="I71" s="949">
        <v>1</v>
      </c>
      <c r="J71" s="949">
        <v>1</v>
      </c>
      <c r="K71" s="949">
        <v>1</v>
      </c>
      <c r="L71" s="949"/>
      <c r="M71" s="949"/>
      <c r="N71" s="949"/>
      <c r="O71" s="973">
        <f t="shared" ref="O71:Q72" si="104">+IFERROR(IF((H71+L71)/D71&gt;=100%,100%,(H71+L71)/D71),0)</f>
        <v>0</v>
      </c>
      <c r="P71" s="973">
        <f t="shared" si="104"/>
        <v>1</v>
      </c>
      <c r="Q71" s="973">
        <f t="shared" si="104"/>
        <v>1</v>
      </c>
      <c r="R71" s="951">
        <f t="shared" ref="R71:R72" si="105">+IFERROR(IF(K71/G71&gt;=100%,100%,K71/G71),0)</f>
        <v>1</v>
      </c>
      <c r="S71" s="988" t="s">
        <v>2263</v>
      </c>
      <c r="T71" s="974">
        <v>45107</v>
      </c>
      <c r="U71" s="984" t="s">
        <v>2115</v>
      </c>
      <c r="V71" s="985"/>
      <c r="W71" s="952" t="s">
        <v>2116</v>
      </c>
      <c r="X71" s="952" t="s">
        <v>2264</v>
      </c>
      <c r="Y71" s="1035">
        <f t="shared" ref="Y71:Y72" si="106">SUM(D71:G71)</f>
        <v>3</v>
      </c>
      <c r="Z71" s="956">
        <f t="shared" ref="Z71:Z72" si="107">SUM(H71:N71)</f>
        <v>3</v>
      </c>
      <c r="AA71" s="1021">
        <f>IF(Z71/Y71&gt;=100%,100%,Z71/Y71)</f>
        <v>1</v>
      </c>
      <c r="AB71" s="1092">
        <v>0.3</v>
      </c>
      <c r="AC71" s="1092">
        <v>0</v>
      </c>
      <c r="AD71" s="973">
        <v>1</v>
      </c>
      <c r="AE71" s="1093">
        <v>0.3</v>
      </c>
      <c r="AF71" s="1093">
        <v>0.3</v>
      </c>
      <c r="AG71" s="1094">
        <v>100000000</v>
      </c>
      <c r="AH71" s="1095" t="s">
        <v>2120</v>
      </c>
      <c r="AI71" s="1094">
        <v>98322560</v>
      </c>
      <c r="AJ71" s="1094">
        <v>133603254</v>
      </c>
      <c r="AK71" s="1094">
        <v>100000000</v>
      </c>
      <c r="AL71" s="1025">
        <f t="shared" si="20"/>
        <v>1</v>
      </c>
      <c r="AM71" s="1095" t="s">
        <v>2120</v>
      </c>
      <c r="AN71" s="1094">
        <v>7145145</v>
      </c>
      <c r="AO71" s="1094">
        <v>126914145</v>
      </c>
      <c r="AP71" s="1094">
        <v>10000000</v>
      </c>
      <c r="AQ71" s="1026">
        <f t="shared" si="21"/>
        <v>0.1</v>
      </c>
      <c r="AR71" s="958">
        <f t="shared" ref="AR71:AR72" si="108">+AJ71-AO71</f>
        <v>6689109</v>
      </c>
      <c r="AS71" s="1095" t="s">
        <v>2120</v>
      </c>
      <c r="AT71" s="958">
        <v>0</v>
      </c>
      <c r="AU71" s="1096">
        <v>91177415</v>
      </c>
      <c r="AV71" s="1096">
        <v>91131343</v>
      </c>
      <c r="AW71" s="1096">
        <v>6689109</v>
      </c>
      <c r="AX71" s="1096">
        <v>6407802</v>
      </c>
      <c r="AY71" s="1027">
        <f t="shared" si="7"/>
        <v>1.5771632664380264</v>
      </c>
      <c r="AZ71" s="1071">
        <v>350000000</v>
      </c>
      <c r="BA71" s="1000">
        <f t="shared" si="22"/>
        <v>331925814</v>
      </c>
      <c r="BB71" s="973">
        <f t="shared" si="9"/>
        <v>0.94835946857142861</v>
      </c>
      <c r="BC71" s="1029">
        <f t="shared" si="23"/>
        <v>241598435</v>
      </c>
      <c r="BD71" s="973">
        <f t="shared" si="24"/>
        <v>0.69028124285714287</v>
      </c>
      <c r="BE71" s="1030"/>
      <c r="BF71" s="1030"/>
      <c r="BG71" s="953" t="s">
        <v>584</v>
      </c>
      <c r="BH71" s="1385" t="s">
        <v>2265</v>
      </c>
      <c r="BI71" s="908" t="s">
        <v>2103</v>
      </c>
    </row>
    <row r="72" spans="1:61" s="908" customFormat="1" ht="47.4" customHeight="1">
      <c r="A72" s="1089" t="s">
        <v>1956</v>
      </c>
      <c r="B72" s="1090" t="s">
        <v>2266</v>
      </c>
      <c r="C72" s="980" t="s">
        <v>2108</v>
      </c>
      <c r="D72" s="1033">
        <v>0</v>
      </c>
      <c r="E72" s="1033">
        <v>0</v>
      </c>
      <c r="F72" s="1033">
        <v>2</v>
      </c>
      <c r="G72" s="1033">
        <v>2</v>
      </c>
      <c r="H72" s="949">
        <v>0</v>
      </c>
      <c r="I72" s="949" t="s">
        <v>1918</v>
      </c>
      <c r="J72" s="949">
        <v>2</v>
      </c>
      <c r="K72" s="949">
        <v>2</v>
      </c>
      <c r="L72" s="949"/>
      <c r="M72" s="949"/>
      <c r="N72" s="949"/>
      <c r="O72" s="973">
        <f t="shared" si="104"/>
        <v>0</v>
      </c>
      <c r="P72" s="1021">
        <f t="shared" si="104"/>
        <v>0</v>
      </c>
      <c r="Q72" s="973">
        <f t="shared" si="104"/>
        <v>1</v>
      </c>
      <c r="R72" s="951">
        <f t="shared" si="105"/>
        <v>1</v>
      </c>
      <c r="S72" s="988" t="s">
        <v>2267</v>
      </c>
      <c r="T72" s="974">
        <v>45107</v>
      </c>
      <c r="U72" s="984" t="s">
        <v>2115</v>
      </c>
      <c r="V72" s="985"/>
      <c r="W72" s="952" t="s">
        <v>2116</v>
      </c>
      <c r="X72" s="952" t="s">
        <v>2264</v>
      </c>
      <c r="Y72" s="1035">
        <f t="shared" si="106"/>
        <v>4</v>
      </c>
      <c r="Z72" s="956">
        <f t="shared" si="107"/>
        <v>4</v>
      </c>
      <c r="AA72" s="1021">
        <f>IF(Z72/Y72&gt;=100%,100%,Z72/Y72)</f>
        <v>1</v>
      </c>
      <c r="AB72" s="1092">
        <v>0.7</v>
      </c>
      <c r="AC72" s="1092">
        <v>0</v>
      </c>
      <c r="AD72" s="973">
        <v>0</v>
      </c>
      <c r="AE72" s="1093">
        <v>0.7</v>
      </c>
      <c r="AF72" s="1093">
        <v>0.7</v>
      </c>
      <c r="AG72" s="1095">
        <v>350000000</v>
      </c>
      <c r="AH72" s="1095" t="s">
        <v>2120</v>
      </c>
      <c r="AI72" s="1094">
        <v>0</v>
      </c>
      <c r="AJ72" s="1094">
        <v>399556712</v>
      </c>
      <c r="AK72" s="1094">
        <v>350000000</v>
      </c>
      <c r="AL72" s="1025">
        <f t="shared" si="20"/>
        <v>1</v>
      </c>
      <c r="AM72" s="1095" t="s">
        <v>2120</v>
      </c>
      <c r="AN72" s="1094">
        <v>0</v>
      </c>
      <c r="AO72" s="1094">
        <v>397014419</v>
      </c>
      <c r="AP72" s="1094">
        <v>328926000</v>
      </c>
      <c r="AQ72" s="1026">
        <f t="shared" si="21"/>
        <v>0.93978857142857142</v>
      </c>
      <c r="AR72" s="958">
        <f t="shared" si="108"/>
        <v>2542293</v>
      </c>
      <c r="AS72" s="1095" t="s">
        <v>2120</v>
      </c>
      <c r="AT72" s="958">
        <v>0</v>
      </c>
      <c r="AU72" s="1095"/>
      <c r="AV72" s="1095"/>
      <c r="AW72" s="1095">
        <v>2542293</v>
      </c>
      <c r="AX72" s="1095">
        <v>2351050</v>
      </c>
      <c r="AY72" s="1027">
        <f t="shared" ref="AY72:AY136" si="109">+AX70/AW72</f>
        <v>3.4452567032989512</v>
      </c>
      <c r="AZ72" s="1071">
        <v>750000000</v>
      </c>
      <c r="BA72" s="1000">
        <f t="shared" si="22"/>
        <v>749556712</v>
      </c>
      <c r="BB72" s="973">
        <f t="shared" si="9"/>
        <v>0.99940894933333335</v>
      </c>
      <c r="BC72" s="1029">
        <f t="shared" si="23"/>
        <v>728291469</v>
      </c>
      <c r="BD72" s="973">
        <f t="shared" si="24"/>
        <v>0.97105529199999996</v>
      </c>
      <c r="BE72" s="1030"/>
      <c r="BF72" s="1030"/>
      <c r="BG72" s="953" t="s">
        <v>584</v>
      </c>
      <c r="BH72" s="1385"/>
      <c r="BI72" s="908" t="s">
        <v>2103</v>
      </c>
    </row>
    <row r="73" spans="1:61" s="908" customFormat="1" ht="48" hidden="1" customHeight="1">
      <c r="A73" s="936" t="s">
        <v>2268</v>
      </c>
      <c r="B73" s="937"/>
      <c r="C73" s="937"/>
      <c r="D73" s="938"/>
      <c r="E73" s="938"/>
      <c r="F73" s="938"/>
      <c r="G73" s="938"/>
      <c r="H73" s="938"/>
      <c r="I73" s="938"/>
      <c r="J73" s="938"/>
      <c r="K73" s="938"/>
      <c r="L73" s="938"/>
      <c r="M73" s="938"/>
      <c r="N73" s="938"/>
      <c r="O73" s="939">
        <f>+SUMPRODUCT(O74,AC74)</f>
        <v>0</v>
      </c>
      <c r="P73" s="939">
        <f t="shared" ref="P73:R73" si="110">+SUMPRODUCT(P74,AD74)</f>
        <v>0</v>
      </c>
      <c r="Q73" s="939">
        <f t="shared" si="110"/>
        <v>1</v>
      </c>
      <c r="R73" s="939">
        <f t="shared" si="110"/>
        <v>1</v>
      </c>
      <c r="S73" s="937"/>
      <c r="T73" s="937"/>
      <c r="U73" s="937"/>
      <c r="V73" s="937"/>
      <c r="W73" s="937"/>
      <c r="X73" s="937"/>
      <c r="Y73" s="940"/>
      <c r="Z73" s="940"/>
      <c r="AA73" s="939">
        <f>+SUMPRODUCT(AA74:AA74,AB74:AB74)</f>
        <v>1</v>
      </c>
      <c r="AB73" s="939">
        <v>0.4</v>
      </c>
      <c r="AC73" s="939">
        <v>0</v>
      </c>
      <c r="AD73" s="939">
        <v>0</v>
      </c>
      <c r="AE73" s="939">
        <v>0.4</v>
      </c>
      <c r="AF73" s="939">
        <v>0.4</v>
      </c>
      <c r="AG73" s="937">
        <f>+AG74</f>
        <v>1250000000</v>
      </c>
      <c r="AH73" s="937">
        <f>SUM(AH74:AH74)</f>
        <v>0</v>
      </c>
      <c r="AI73" s="937">
        <f>SUM(AI74:AI74)</f>
        <v>0</v>
      </c>
      <c r="AJ73" s="937">
        <f>SUM(AJ74:AJ74)</f>
        <v>649663517</v>
      </c>
      <c r="AK73" s="937">
        <f>+AK74</f>
        <v>1214000000</v>
      </c>
      <c r="AL73" s="943">
        <f t="shared" si="20"/>
        <v>0.97119999999999995</v>
      </c>
      <c r="AM73" s="937">
        <f>SUM(AM74:AM74)</f>
        <v>0</v>
      </c>
      <c r="AN73" s="937">
        <f>SUM(AN74:AN74)</f>
        <v>0</v>
      </c>
      <c r="AO73" s="937">
        <f>SUM(AO74:AO74)</f>
        <v>648648936</v>
      </c>
      <c r="AP73" s="937">
        <f>+AP74</f>
        <v>0</v>
      </c>
      <c r="AQ73" s="944">
        <f t="shared" si="21"/>
        <v>0</v>
      </c>
      <c r="AR73" s="945">
        <f t="shared" ref="AR73:AX73" si="111">SUM(AR74:AR74)</f>
        <v>1014581</v>
      </c>
      <c r="AS73" s="937">
        <f t="shared" si="111"/>
        <v>0</v>
      </c>
      <c r="AT73" s="937">
        <f t="shared" si="111"/>
        <v>0</v>
      </c>
      <c r="AU73" s="937">
        <f t="shared" si="111"/>
        <v>0</v>
      </c>
      <c r="AV73" s="937">
        <f t="shared" si="111"/>
        <v>0</v>
      </c>
      <c r="AW73" s="937">
        <f t="shared" si="111"/>
        <v>1014581</v>
      </c>
      <c r="AX73" s="937">
        <f t="shared" si="111"/>
        <v>541780</v>
      </c>
      <c r="AY73" s="946">
        <f t="shared" si="109"/>
        <v>6.3157125946573016</v>
      </c>
      <c r="AZ73" s="937">
        <f>SUM(AZ74:AZ74)</f>
        <v>1900000000</v>
      </c>
      <c r="BA73" s="937">
        <f t="shared" si="22"/>
        <v>1863663517</v>
      </c>
      <c r="BB73" s="939">
        <f t="shared" si="9"/>
        <v>0.98087553526315785</v>
      </c>
      <c r="BC73" s="1005">
        <f t="shared" si="23"/>
        <v>649190716</v>
      </c>
      <c r="BD73" s="939">
        <f t="shared" si="24"/>
        <v>0.34167932421052633</v>
      </c>
      <c r="BE73" s="945"/>
      <c r="BF73" s="945"/>
      <c r="BG73" s="945"/>
      <c r="BH73" s="945"/>
      <c r="BI73" s="908" t="s">
        <v>2103</v>
      </c>
    </row>
    <row r="74" spans="1:61" s="908" customFormat="1" ht="47.4" customHeight="1">
      <c r="A74" s="1097" t="s">
        <v>2269</v>
      </c>
      <c r="B74" s="1098" t="s">
        <v>2270</v>
      </c>
      <c r="C74" s="980" t="s">
        <v>2108</v>
      </c>
      <c r="D74" s="1033">
        <v>0</v>
      </c>
      <c r="E74" s="1033">
        <v>0</v>
      </c>
      <c r="F74" s="1033">
        <v>1</v>
      </c>
      <c r="G74" s="1033">
        <v>2</v>
      </c>
      <c r="H74" s="949">
        <v>0</v>
      </c>
      <c r="I74" s="949" t="s">
        <v>1918</v>
      </c>
      <c r="J74" s="949">
        <v>0</v>
      </c>
      <c r="K74" s="949">
        <v>2</v>
      </c>
      <c r="L74" s="949"/>
      <c r="M74" s="949"/>
      <c r="N74" s="949">
        <v>1</v>
      </c>
      <c r="O74" s="951">
        <f>+IFERROR(IF((H74+L74)/D74&gt;=100%,100%,(H74+L74)/D74),0)</f>
        <v>0</v>
      </c>
      <c r="P74" s="1021">
        <f>+IFERROR(IF((I74+M74)/E74&gt;=100%,100%,(I74+M74)/E74),0)</f>
        <v>0</v>
      </c>
      <c r="Q74" s="973">
        <f>+IFERROR(IF((J74+N74)/F74&gt;=100%,100%,(J74+N74)/F74),0)</f>
        <v>1</v>
      </c>
      <c r="R74" s="951">
        <f>+IFERROR(IF(K74/G74&gt;=100%,100%,K74/G74),0)</f>
        <v>1</v>
      </c>
      <c r="S74" s="953" t="s">
        <v>2271</v>
      </c>
      <c r="T74" s="974">
        <v>45107</v>
      </c>
      <c r="U74" s="984" t="s">
        <v>2115</v>
      </c>
      <c r="V74" s="985"/>
      <c r="W74" s="952" t="s">
        <v>2116</v>
      </c>
      <c r="X74" s="952" t="s">
        <v>2145</v>
      </c>
      <c r="Y74" s="956">
        <f t="shared" ref="Y74" si="112">SUM(D74:G74)</f>
        <v>3</v>
      </c>
      <c r="Z74" s="956">
        <f t="shared" ref="Z74" si="113">SUM(H74:N74)</f>
        <v>3</v>
      </c>
      <c r="AA74" s="957">
        <f>IF(Z74/Y74&gt;=100%,100%,Z74/Y74)</f>
        <v>1</v>
      </c>
      <c r="AB74" s="1099">
        <v>1</v>
      </c>
      <c r="AC74" s="1099">
        <v>0</v>
      </c>
      <c r="AD74" s="951">
        <v>0</v>
      </c>
      <c r="AE74" s="973">
        <v>1</v>
      </c>
      <c r="AF74" s="973">
        <v>1</v>
      </c>
      <c r="AG74" s="1084">
        <v>1250000000</v>
      </c>
      <c r="AH74" s="1095" t="s">
        <v>2120</v>
      </c>
      <c r="AI74" s="1095" t="s">
        <v>2120</v>
      </c>
      <c r="AJ74" s="1095">
        <v>649663517</v>
      </c>
      <c r="AK74" s="1094">
        <v>1214000000</v>
      </c>
      <c r="AL74" s="959">
        <f t="shared" si="20"/>
        <v>0.97119999999999995</v>
      </c>
      <c r="AM74" s="1095" t="s">
        <v>2120</v>
      </c>
      <c r="AN74" s="1095" t="s">
        <v>2120</v>
      </c>
      <c r="AO74" s="1095">
        <v>648648936</v>
      </c>
      <c r="AP74" s="1095">
        <v>0</v>
      </c>
      <c r="AQ74" s="1083">
        <f t="shared" si="21"/>
        <v>0</v>
      </c>
      <c r="AR74" s="958">
        <f t="shared" ref="AR74" si="114">+AJ74-AO74</f>
        <v>1014581</v>
      </c>
      <c r="AS74" s="1095" t="s">
        <v>2120</v>
      </c>
      <c r="AT74" s="958">
        <v>0</v>
      </c>
      <c r="AU74" s="1095"/>
      <c r="AV74" s="1095"/>
      <c r="AW74" s="1095">
        <v>1014581</v>
      </c>
      <c r="AX74" s="1095">
        <v>541780</v>
      </c>
      <c r="AY74" s="999">
        <f t="shared" si="109"/>
        <v>2.3172620027380759</v>
      </c>
      <c r="AZ74" s="1084">
        <v>1900000000</v>
      </c>
      <c r="BA74" s="1000">
        <f t="shared" si="22"/>
        <v>1863663517</v>
      </c>
      <c r="BB74" s="973">
        <f t="shared" ref="BB74:BB138" si="115">+BA74/AZ74</f>
        <v>0.98087553526315785</v>
      </c>
      <c r="BC74" s="1029">
        <f t="shared" si="23"/>
        <v>649190716</v>
      </c>
      <c r="BD74" s="973">
        <f t="shared" si="24"/>
        <v>0.34167932421052633</v>
      </c>
      <c r="BE74" s="969"/>
      <c r="BF74" s="969"/>
      <c r="BG74" s="953" t="s">
        <v>584</v>
      </c>
      <c r="BH74" s="1100" t="s">
        <v>2272</v>
      </c>
      <c r="BI74" s="908" t="s">
        <v>2103</v>
      </c>
    </row>
    <row r="75" spans="1:61" s="908" customFormat="1" ht="47.4" customHeight="1">
      <c r="A75" s="936" t="s">
        <v>2273</v>
      </c>
      <c r="B75" s="937"/>
      <c r="C75" s="937"/>
      <c r="D75" s="938"/>
      <c r="E75" s="938"/>
      <c r="F75" s="938"/>
      <c r="G75" s="938"/>
      <c r="H75" s="938"/>
      <c r="I75" s="938"/>
      <c r="J75" s="938"/>
      <c r="K75" s="938"/>
      <c r="L75" s="938"/>
      <c r="M75" s="938"/>
      <c r="N75" s="938"/>
      <c r="O75" s="939">
        <f>+SUMPRODUCT(O76:O77,AC76:AC77)</f>
        <v>0.8</v>
      </c>
      <c r="P75" s="939">
        <f t="shared" ref="P75:R75" si="116">+SUMPRODUCT(P76:P77,AD76:AD77)</f>
        <v>0</v>
      </c>
      <c r="Q75" s="939">
        <f t="shared" si="116"/>
        <v>1</v>
      </c>
      <c r="R75" s="939">
        <f t="shared" si="116"/>
        <v>1</v>
      </c>
      <c r="S75" s="937"/>
      <c r="T75" s="937"/>
      <c r="U75" s="1101"/>
      <c r="V75" s="1102"/>
      <c r="W75" s="937"/>
      <c r="X75" s="937"/>
      <c r="Y75" s="940"/>
      <c r="Z75" s="940"/>
      <c r="AA75" s="939">
        <f>+SUMPRODUCT(AA76:AA77,AB76:AB77)</f>
        <v>0.8666666666666667</v>
      </c>
      <c r="AB75" s="939">
        <v>0.3</v>
      </c>
      <c r="AC75" s="939">
        <v>1</v>
      </c>
      <c r="AD75" s="939">
        <v>0.7</v>
      </c>
      <c r="AE75" s="939">
        <v>0.3</v>
      </c>
      <c r="AF75" s="939">
        <v>0.3</v>
      </c>
      <c r="AG75" s="937">
        <f>+SUM(AG76:AG77)</f>
        <v>350000000</v>
      </c>
      <c r="AH75" s="937">
        <f>SUM(AH76:AH77)</f>
        <v>837503911</v>
      </c>
      <c r="AI75" s="937">
        <f>SUM(AI76:AI77)</f>
        <v>521972533.19999999</v>
      </c>
      <c r="AJ75" s="937">
        <f>SUM(AJ76:AJ77)</f>
        <v>99611316</v>
      </c>
      <c r="AK75" s="937">
        <f>+SUM(AK76:AK77)</f>
        <v>350000000</v>
      </c>
      <c r="AL75" s="943">
        <f t="shared" ref="AL75:AL139" si="117">+AK75/AG75</f>
        <v>1</v>
      </c>
      <c r="AM75" s="937">
        <f>SUM(AM76:AM77)</f>
        <v>815040611</v>
      </c>
      <c r="AN75" s="937">
        <f>SUM(AN76:AN77)</f>
        <v>265566881</v>
      </c>
      <c r="AO75" s="937">
        <f>SUM(AO76:AO77)</f>
        <v>97397324</v>
      </c>
      <c r="AP75" s="937">
        <f>+SUM(AP76:AP77)</f>
        <v>350000000</v>
      </c>
      <c r="AQ75" s="944">
        <f t="shared" ref="AQ75:AQ139" si="118">+AP75/AG75</f>
        <v>1</v>
      </c>
      <c r="AR75" s="945">
        <f t="shared" ref="AR75:AX75" si="119">SUM(AR76:AR77)</f>
        <v>2213992</v>
      </c>
      <c r="AS75" s="937">
        <f t="shared" si="119"/>
        <v>22463300</v>
      </c>
      <c r="AT75" s="937">
        <f t="shared" si="119"/>
        <v>20152235</v>
      </c>
      <c r="AU75" s="937">
        <f t="shared" si="119"/>
        <v>256405652.19999999</v>
      </c>
      <c r="AV75" s="937">
        <f t="shared" si="119"/>
        <v>35763792</v>
      </c>
      <c r="AW75" s="937">
        <f t="shared" si="119"/>
        <v>2213992</v>
      </c>
      <c r="AX75" s="937">
        <f t="shared" si="119"/>
        <v>1249185</v>
      </c>
      <c r="AY75" s="946">
        <f t="shared" si="109"/>
        <v>0.24470729794868273</v>
      </c>
      <c r="AZ75" s="937">
        <f>SUM(AZ76:AZ77)</f>
        <v>1920028662</v>
      </c>
      <c r="BA75" s="937">
        <f t="shared" ref="BA75:BA139" si="120">SUM(AH75:AK75)</f>
        <v>1809087760.2</v>
      </c>
      <c r="BB75" s="944">
        <f t="shared" si="115"/>
        <v>0.94221914287235786</v>
      </c>
      <c r="BC75" s="1005">
        <f t="shared" ref="BC75:BC139" si="121">SUM(AM75:AP75)+AT75+AV75+AX75</f>
        <v>1585170028</v>
      </c>
      <c r="BD75" s="939">
        <f t="shared" ref="BD75:BD139" si="122">+BC75/AZ75</f>
        <v>0.82559706496714791</v>
      </c>
      <c r="BE75" s="945"/>
      <c r="BF75" s="945"/>
      <c r="BG75" s="945"/>
      <c r="BH75" s="945"/>
      <c r="BI75" s="908" t="s">
        <v>2103</v>
      </c>
    </row>
    <row r="76" spans="1:61" s="908" customFormat="1" ht="47.4" customHeight="1">
      <c r="A76" s="1103" t="s">
        <v>2274</v>
      </c>
      <c r="B76" s="1104" t="s">
        <v>2275</v>
      </c>
      <c r="C76" s="980" t="s">
        <v>2108</v>
      </c>
      <c r="D76" s="1033">
        <v>2</v>
      </c>
      <c r="E76" s="1033">
        <v>0</v>
      </c>
      <c r="F76" s="1033">
        <v>0</v>
      </c>
      <c r="G76" s="1033">
        <v>2</v>
      </c>
      <c r="H76" s="949">
        <v>2</v>
      </c>
      <c r="I76" s="949" t="s">
        <v>1918</v>
      </c>
      <c r="J76" s="949">
        <v>0</v>
      </c>
      <c r="K76" s="949">
        <v>2</v>
      </c>
      <c r="L76" s="949"/>
      <c r="M76" s="949"/>
      <c r="N76" s="949"/>
      <c r="O76" s="951">
        <f t="shared" ref="O76:Q77" si="123">+IFERROR(IF((H76+L76)/D76&gt;=100%,100%,(H76+L76)/D76),0)</f>
        <v>1</v>
      </c>
      <c r="P76" s="1021">
        <f t="shared" si="123"/>
        <v>0</v>
      </c>
      <c r="Q76" s="951">
        <f t="shared" si="123"/>
        <v>0</v>
      </c>
      <c r="R76" s="951">
        <f t="shared" ref="R76:R77" si="124">+IFERROR(IF(K76/G76&gt;=100%,100%,K76/G76),0)</f>
        <v>1</v>
      </c>
      <c r="S76" s="953" t="s">
        <v>2276</v>
      </c>
      <c r="T76" s="974">
        <v>45107</v>
      </c>
      <c r="U76" s="984" t="s">
        <v>2115</v>
      </c>
      <c r="V76" s="985"/>
      <c r="W76" s="952" t="s">
        <v>2116</v>
      </c>
      <c r="X76" s="952" t="s">
        <v>2264</v>
      </c>
      <c r="Y76" s="1035">
        <f t="shared" ref="Y76:Y77" si="125">SUM(D76:G76)</f>
        <v>4</v>
      </c>
      <c r="Z76" s="956">
        <f t="shared" ref="Z76:Z77" si="126">SUM(H76:N76)</f>
        <v>4</v>
      </c>
      <c r="AA76" s="1021">
        <f t="shared" ref="AA76:AA77" si="127">IF(Z76/Y76&gt;=100%,100%,Z76/Y76)</f>
        <v>1</v>
      </c>
      <c r="AB76" s="1092">
        <v>0.8</v>
      </c>
      <c r="AC76" s="1092">
        <v>0.8</v>
      </c>
      <c r="AD76" s="973">
        <v>0</v>
      </c>
      <c r="AE76" s="951">
        <v>0</v>
      </c>
      <c r="AF76" s="951">
        <v>1</v>
      </c>
      <c r="AG76" s="1071">
        <v>350000000</v>
      </c>
      <c r="AH76" s="1071">
        <f>450000000+387503911</f>
        <v>837503911</v>
      </c>
      <c r="AI76" s="1071">
        <v>0</v>
      </c>
      <c r="AJ76" s="1071">
        <v>0</v>
      </c>
      <c r="AK76" s="1071">
        <v>350000000</v>
      </c>
      <c r="AL76" s="1025">
        <f t="shared" si="117"/>
        <v>1</v>
      </c>
      <c r="AM76" s="1071">
        <v>815040611</v>
      </c>
      <c r="AN76" s="1071">
        <v>0</v>
      </c>
      <c r="AO76" s="1071"/>
      <c r="AP76" s="1071">
        <v>350000000</v>
      </c>
      <c r="AQ76" s="1026">
        <f t="shared" si="118"/>
        <v>1</v>
      </c>
      <c r="AR76" s="958">
        <f t="shared" ref="AR76:AR77" si="128">+AJ76-AO76</f>
        <v>0</v>
      </c>
      <c r="AS76" s="1071">
        <v>22463300</v>
      </c>
      <c r="AT76" s="1071">
        <v>20152235</v>
      </c>
      <c r="AU76" s="1071"/>
      <c r="AV76" s="1071"/>
      <c r="AW76" s="1071"/>
      <c r="AX76" s="1071"/>
      <c r="AY76" s="1027" t="e">
        <f t="shared" si="109"/>
        <v>#DIV/0!</v>
      </c>
      <c r="AZ76" s="964">
        <v>1196153089</v>
      </c>
      <c r="BA76" s="1000">
        <f t="shared" si="120"/>
        <v>1187503911</v>
      </c>
      <c r="BB76" s="1026">
        <f t="shared" si="115"/>
        <v>0.99276917137150833</v>
      </c>
      <c r="BC76" s="1029">
        <f t="shared" si="121"/>
        <v>1185192846</v>
      </c>
      <c r="BD76" s="973">
        <f t="shared" si="122"/>
        <v>0.99083709008421084</v>
      </c>
      <c r="BE76" s="1030"/>
      <c r="BF76" s="969"/>
      <c r="BG76" s="953" t="s">
        <v>584</v>
      </c>
      <c r="BH76" s="1105" t="s">
        <v>2265</v>
      </c>
      <c r="BI76" s="908" t="s">
        <v>2103</v>
      </c>
    </row>
    <row r="77" spans="1:61" s="908" customFormat="1" ht="81" hidden="1" customHeight="1">
      <c r="A77" s="1103" t="s">
        <v>2277</v>
      </c>
      <c r="B77" s="1104" t="s">
        <v>2278</v>
      </c>
      <c r="C77" s="980" t="s">
        <v>2108</v>
      </c>
      <c r="D77" s="1091">
        <v>1</v>
      </c>
      <c r="E77" s="1091">
        <v>1</v>
      </c>
      <c r="F77" s="1091">
        <v>1</v>
      </c>
      <c r="G77" s="1091">
        <v>0</v>
      </c>
      <c r="H77" s="949">
        <v>0</v>
      </c>
      <c r="I77" s="949">
        <v>0</v>
      </c>
      <c r="J77" s="949">
        <v>1</v>
      </c>
      <c r="K77" s="949"/>
      <c r="L77" s="949"/>
      <c r="M77" s="949"/>
      <c r="N77" s="949"/>
      <c r="O77" s="951">
        <f t="shared" si="123"/>
        <v>0</v>
      </c>
      <c r="P77" s="973">
        <f t="shared" si="123"/>
        <v>0</v>
      </c>
      <c r="Q77" s="973">
        <f t="shared" si="123"/>
        <v>1</v>
      </c>
      <c r="R77" s="951">
        <f t="shared" si="124"/>
        <v>0</v>
      </c>
      <c r="S77" s="952"/>
      <c r="T77" s="952"/>
      <c r="U77" s="984"/>
      <c r="V77" s="985"/>
      <c r="W77" s="952"/>
      <c r="X77" s="952"/>
      <c r="Y77" s="1035">
        <f t="shared" si="125"/>
        <v>3</v>
      </c>
      <c r="Z77" s="956">
        <f t="shared" si="126"/>
        <v>1</v>
      </c>
      <c r="AA77" s="1021">
        <f t="shared" si="127"/>
        <v>0.33333333333333331</v>
      </c>
      <c r="AB77" s="1092">
        <v>0.2</v>
      </c>
      <c r="AC77" s="1092">
        <v>0.2</v>
      </c>
      <c r="AD77" s="973">
        <v>1</v>
      </c>
      <c r="AE77" s="951">
        <v>1</v>
      </c>
      <c r="AF77" s="951">
        <v>0</v>
      </c>
      <c r="AG77" s="1106">
        <v>0</v>
      </c>
      <c r="AH77" s="1071">
        <v>0</v>
      </c>
      <c r="AI77" s="1071">
        <v>521972533.19999999</v>
      </c>
      <c r="AJ77" s="1071">
        <v>99611316</v>
      </c>
      <c r="AK77" s="1071"/>
      <c r="AL77" s="1025" t="e">
        <f t="shared" si="117"/>
        <v>#DIV/0!</v>
      </c>
      <c r="AM77" s="1071">
        <v>0</v>
      </c>
      <c r="AN77" s="1071">
        <v>265566881</v>
      </c>
      <c r="AO77" s="1071">
        <v>97397324</v>
      </c>
      <c r="AP77" s="1071"/>
      <c r="AQ77" s="1026" t="e">
        <f t="shared" si="118"/>
        <v>#DIV/0!</v>
      </c>
      <c r="AR77" s="958">
        <f t="shared" si="128"/>
        <v>2213992</v>
      </c>
      <c r="AS77" s="1071">
        <v>0</v>
      </c>
      <c r="AT77" s="1071">
        <v>0</v>
      </c>
      <c r="AU77" s="1071">
        <v>256405652.19999999</v>
      </c>
      <c r="AV77" s="1071">
        <v>35763792</v>
      </c>
      <c r="AW77" s="1071">
        <v>2213992</v>
      </c>
      <c r="AX77" s="1071">
        <v>1249185</v>
      </c>
      <c r="AY77" s="1027">
        <f t="shared" si="109"/>
        <v>0.56422290595449309</v>
      </c>
      <c r="AZ77" s="964">
        <v>723875573</v>
      </c>
      <c r="BA77" s="1000">
        <f t="shared" si="120"/>
        <v>621583849.20000005</v>
      </c>
      <c r="BB77" s="1026">
        <f t="shared" si="115"/>
        <v>0.85868880286142779</v>
      </c>
      <c r="BC77" s="1029">
        <f t="shared" si="121"/>
        <v>399977182</v>
      </c>
      <c r="BD77" s="973">
        <f t="shared" si="122"/>
        <v>0.55254963272534685</v>
      </c>
      <c r="BE77" s="1030"/>
      <c r="BF77" s="969"/>
      <c r="BG77" s="953" t="s">
        <v>584</v>
      </c>
      <c r="BH77" s="1105" t="s">
        <v>2265</v>
      </c>
      <c r="BI77" s="908" t="s">
        <v>2103</v>
      </c>
    </row>
    <row r="78" spans="1:61" s="908" customFormat="1" ht="47.4" customHeight="1">
      <c r="A78" s="925" t="s">
        <v>2279</v>
      </c>
      <c r="B78" s="1107"/>
      <c r="C78" s="1107"/>
      <c r="D78" s="1108"/>
      <c r="E78" s="1108"/>
      <c r="F78" s="1108"/>
      <c r="G78" s="1108"/>
      <c r="H78" s="1108"/>
      <c r="I78" s="1108"/>
      <c r="J78" s="1108"/>
      <c r="K78" s="1108"/>
      <c r="L78" s="1108"/>
      <c r="M78" s="1108"/>
      <c r="N78" s="1108"/>
      <c r="O78" s="1109">
        <f>+(O79*AC79)+(O92*AC92)+(O97*AC97)</f>
        <v>0.84599999999999986</v>
      </c>
      <c r="P78" s="1109">
        <f>+(P79*AD79)+(P92*AD92)+(P97*AD97)</f>
        <v>0.79699999999999993</v>
      </c>
      <c r="Q78" s="1109">
        <f>+(Q79*AE79)+(Q92*AE92)+(Q97*AE97)</f>
        <v>0.91599999999999981</v>
      </c>
      <c r="R78" s="1109">
        <f>+(R79*AF79)+(R92*AF92)+(R97*AF97)</f>
        <v>0.88156000000000001</v>
      </c>
      <c r="S78" s="1107"/>
      <c r="T78" s="1107"/>
      <c r="U78" s="1107"/>
      <c r="V78" s="1107"/>
      <c r="W78" s="1107"/>
      <c r="X78" s="1107"/>
      <c r="Y78" s="1110"/>
      <c r="Z78" s="1110"/>
      <c r="AA78" s="1109">
        <f>+(AA79*AB79)+(AA92*AB92)+(AA97*AB97)</f>
        <v>0.867983682983683</v>
      </c>
      <c r="AB78" s="928">
        <v>0.4</v>
      </c>
      <c r="AC78" s="928">
        <v>0.4</v>
      </c>
      <c r="AD78" s="928">
        <v>0.4</v>
      </c>
      <c r="AE78" s="928">
        <v>0.4</v>
      </c>
      <c r="AF78" s="928">
        <v>0.4</v>
      </c>
      <c r="AG78" s="926">
        <f>+AG79+AG92+AG97</f>
        <v>2218000000</v>
      </c>
      <c r="AH78" s="926">
        <f>+AH79+AH92+AH97</f>
        <v>213135000</v>
      </c>
      <c r="AI78" s="926">
        <f>+AI79+AI92+AI97</f>
        <v>2513740137</v>
      </c>
      <c r="AJ78" s="926">
        <f>+AJ79+AJ92+AJ97</f>
        <v>3138727280</v>
      </c>
      <c r="AK78" s="926">
        <f>+AK79+AK92+AK97</f>
        <v>2143365549</v>
      </c>
      <c r="AL78" s="931">
        <f t="shared" si="117"/>
        <v>0.96635056311992784</v>
      </c>
      <c r="AM78" s="926">
        <f>+AM79+AM92+AM97</f>
        <v>102200000</v>
      </c>
      <c r="AN78" s="926">
        <f>+AN79+AN92+AN97</f>
        <v>1959280320</v>
      </c>
      <c r="AO78" s="926">
        <f>+AO79+AO92+AO97</f>
        <v>3022454871</v>
      </c>
      <c r="AP78" s="926">
        <f>+AP79+AP92+AP97</f>
        <v>1571929376.6900001</v>
      </c>
      <c r="AQ78" s="933">
        <f t="shared" si="118"/>
        <v>0.70871477758791712</v>
      </c>
      <c r="AR78" s="926">
        <f t="shared" ref="AR78:AX78" si="129">+AR79+AR92+AR97</f>
        <v>116272409</v>
      </c>
      <c r="AS78" s="926">
        <f t="shared" si="129"/>
        <v>110935000</v>
      </c>
      <c r="AT78" s="926">
        <f t="shared" si="129"/>
        <v>110935000</v>
      </c>
      <c r="AU78" s="926">
        <f t="shared" si="129"/>
        <v>554459817</v>
      </c>
      <c r="AV78" s="926">
        <f t="shared" si="129"/>
        <v>552311447</v>
      </c>
      <c r="AW78" s="926">
        <f t="shared" si="129"/>
        <v>116272409</v>
      </c>
      <c r="AX78" s="926">
        <f t="shared" si="129"/>
        <v>111009490</v>
      </c>
      <c r="AY78" s="1111">
        <f t="shared" si="109"/>
        <v>0</v>
      </c>
      <c r="AZ78" s="926">
        <f>+AZ79+AZ92+AZ97</f>
        <v>9194460427</v>
      </c>
      <c r="BA78" s="926">
        <f t="shared" si="120"/>
        <v>8008967966</v>
      </c>
      <c r="BB78" s="928">
        <f t="shared" si="115"/>
        <v>0.87106448818695859</v>
      </c>
      <c r="BC78" s="1010">
        <f t="shared" si="121"/>
        <v>7430120504.6900005</v>
      </c>
      <c r="BD78" s="928">
        <f t="shared" si="122"/>
        <v>0.80810837826557769</v>
      </c>
      <c r="BE78" s="926"/>
      <c r="BF78" s="926" t="s">
        <v>1695</v>
      </c>
      <c r="BG78" s="926"/>
      <c r="BH78" s="926"/>
      <c r="BI78" s="908" t="s">
        <v>2103</v>
      </c>
    </row>
    <row r="79" spans="1:61" s="908" customFormat="1" ht="47.4" customHeight="1">
      <c r="A79" s="936" t="s">
        <v>2280</v>
      </c>
      <c r="B79" s="937"/>
      <c r="C79" s="937"/>
      <c r="D79" s="938"/>
      <c r="E79" s="938"/>
      <c r="F79" s="938"/>
      <c r="G79" s="938"/>
      <c r="H79" s="938"/>
      <c r="I79" s="938"/>
      <c r="J79" s="938"/>
      <c r="K79" s="938"/>
      <c r="L79" s="938"/>
      <c r="M79" s="938"/>
      <c r="N79" s="938"/>
      <c r="O79" s="939">
        <f>+SUMPRODUCT(O80:O91,AC80:AC91)</f>
        <v>0.78</v>
      </c>
      <c r="P79" s="939">
        <f>+SUMPRODUCT(P80:P91,AD80:AD91)</f>
        <v>0.71</v>
      </c>
      <c r="Q79" s="939">
        <f>+SUMPRODUCT(Q80:Q91,AE80:AE91)</f>
        <v>0.87999999999999989</v>
      </c>
      <c r="R79" s="939">
        <f>+SUMPRODUCT(R80:R91,AF80:AF91)</f>
        <v>0.83079999999999998</v>
      </c>
      <c r="S79" s="937"/>
      <c r="T79" s="937"/>
      <c r="U79" s="937"/>
      <c r="V79" s="937"/>
      <c r="W79" s="937"/>
      <c r="X79" s="937"/>
      <c r="Y79" s="940"/>
      <c r="Z79" s="940"/>
      <c r="AA79" s="939">
        <f>+SUMPRODUCT(AA80:AA91,AB80:AB91)</f>
        <v>0.81140526140526137</v>
      </c>
      <c r="AB79" s="939">
        <v>0.7</v>
      </c>
      <c r="AC79" s="939">
        <v>0.7</v>
      </c>
      <c r="AD79" s="939">
        <v>0.7</v>
      </c>
      <c r="AE79" s="939">
        <v>0.7</v>
      </c>
      <c r="AF79" s="939">
        <v>0.7</v>
      </c>
      <c r="AG79" s="937">
        <f>SUM(AG80:AG91)</f>
        <v>1718000000</v>
      </c>
      <c r="AH79" s="937">
        <f>SUM(AH80:AH91)</f>
        <v>124485000</v>
      </c>
      <c r="AI79" s="937">
        <f>SUM(AI80:AI91)</f>
        <v>1702980006</v>
      </c>
      <c r="AJ79" s="937">
        <f>SUM(AJ80:AJ91)</f>
        <v>2714064642</v>
      </c>
      <c r="AK79" s="937">
        <f>SUM(AK80:AK91)</f>
        <v>1643385187</v>
      </c>
      <c r="AL79" s="943">
        <f t="shared" si="117"/>
        <v>0.95656879336437717</v>
      </c>
      <c r="AM79" s="937">
        <f>SUM(AM80:AM91)</f>
        <v>31500000</v>
      </c>
      <c r="AN79" s="937">
        <f>SUM(AN80:AN91)</f>
        <v>1488878058</v>
      </c>
      <c r="AO79" s="937">
        <f>SUM(AO80:AO91)</f>
        <v>2603319345</v>
      </c>
      <c r="AP79" s="937">
        <f>SUM(AP80:AP91)</f>
        <v>1086006008.6900001</v>
      </c>
      <c r="AQ79" s="944">
        <f t="shared" si="118"/>
        <v>0.63213388165890572</v>
      </c>
      <c r="AR79" s="945">
        <f t="shared" ref="AR79:AX79" si="130">SUM(AR80:AR91)</f>
        <v>110745297</v>
      </c>
      <c r="AS79" s="937">
        <f t="shared" si="130"/>
        <v>92985000</v>
      </c>
      <c r="AT79" s="937">
        <f t="shared" si="130"/>
        <v>92985000</v>
      </c>
      <c r="AU79" s="937">
        <f t="shared" si="130"/>
        <v>214101948</v>
      </c>
      <c r="AV79" s="937">
        <f t="shared" si="130"/>
        <v>213186143</v>
      </c>
      <c r="AW79" s="937">
        <f t="shared" si="130"/>
        <v>110745297</v>
      </c>
      <c r="AX79" s="937">
        <f t="shared" si="130"/>
        <v>107066195</v>
      </c>
      <c r="AY79" s="946">
        <f t="shared" si="109"/>
        <v>1.1279801796007644E-2</v>
      </c>
      <c r="AZ79" s="937">
        <f>SUM(AZ80:AZ91)</f>
        <v>7339460427</v>
      </c>
      <c r="BA79" s="937">
        <f t="shared" si="120"/>
        <v>6184914835</v>
      </c>
      <c r="BB79" s="939">
        <f t="shared" si="115"/>
        <v>0.84269339640381169</v>
      </c>
      <c r="BC79" s="1005">
        <f t="shared" si="121"/>
        <v>5622940749.6900005</v>
      </c>
      <c r="BD79" s="939">
        <f t="shared" si="122"/>
        <v>0.76612454084562376</v>
      </c>
      <c r="BE79" s="945"/>
      <c r="BF79" s="945"/>
      <c r="BG79" s="945"/>
      <c r="BH79" s="945"/>
      <c r="BI79" s="908" t="s">
        <v>2103</v>
      </c>
    </row>
    <row r="80" spans="1:61" s="908" customFormat="1" ht="167.25" hidden="1" customHeight="1">
      <c r="A80" s="1112" t="s">
        <v>2281</v>
      </c>
      <c r="B80" s="1113" t="s">
        <v>2282</v>
      </c>
      <c r="C80" s="980" t="s">
        <v>2108</v>
      </c>
      <c r="D80" s="1066">
        <v>1</v>
      </c>
      <c r="E80" s="1066">
        <v>2</v>
      </c>
      <c r="F80" s="1066">
        <v>0</v>
      </c>
      <c r="G80" s="1066">
        <v>0</v>
      </c>
      <c r="H80" s="950">
        <v>0</v>
      </c>
      <c r="I80" s="950">
        <v>0</v>
      </c>
      <c r="J80" s="949">
        <v>0</v>
      </c>
      <c r="K80" s="949">
        <v>0</v>
      </c>
      <c r="L80" s="949">
        <v>1</v>
      </c>
      <c r="M80" s="1114">
        <v>0</v>
      </c>
      <c r="N80" s="949"/>
      <c r="O80" s="951">
        <f t="shared" ref="O80:Q91" si="131">+IFERROR(IF((H80+L80)/D80&gt;=100%,100%,(H80+L80)/D80),0)</f>
        <v>1</v>
      </c>
      <c r="P80" s="951">
        <f t="shared" si="131"/>
        <v>0</v>
      </c>
      <c r="Q80" s="951">
        <f t="shared" si="131"/>
        <v>0</v>
      </c>
      <c r="R80" s="951">
        <v>0</v>
      </c>
      <c r="S80" s="1115"/>
      <c r="T80" s="952"/>
      <c r="U80" s="984"/>
      <c r="V80" s="985"/>
      <c r="W80" s="952"/>
      <c r="X80" s="952"/>
      <c r="Y80" s="1035">
        <f t="shared" ref="Y80:Y91" si="132">SUM(D80:G80)</f>
        <v>3</v>
      </c>
      <c r="Z80" s="956">
        <f t="shared" ref="Z80:Z91" si="133">SUM(H80:N80)</f>
        <v>1</v>
      </c>
      <c r="AA80" s="1021">
        <f>IF(Z80/Y80&gt;=100%,100%,Z80/Y80)</f>
        <v>0.33333333333333331</v>
      </c>
      <c r="AB80" s="996">
        <v>0.1</v>
      </c>
      <c r="AC80" s="996">
        <v>0.27</v>
      </c>
      <c r="AD80" s="973">
        <v>0.17</v>
      </c>
      <c r="AE80" s="951">
        <v>0</v>
      </c>
      <c r="AF80" s="951">
        <v>0</v>
      </c>
      <c r="AG80" s="1116">
        <v>0</v>
      </c>
      <c r="AH80" s="958">
        <v>80985000</v>
      </c>
      <c r="AI80" s="958">
        <v>541127629</v>
      </c>
      <c r="AJ80" s="958">
        <v>0</v>
      </c>
      <c r="AK80" s="958"/>
      <c r="AL80" s="1025" t="e">
        <f t="shared" si="117"/>
        <v>#DIV/0!</v>
      </c>
      <c r="AM80" s="958">
        <v>31500000</v>
      </c>
      <c r="AN80" s="958">
        <v>533734832</v>
      </c>
      <c r="AO80" s="958"/>
      <c r="AP80" s="958"/>
      <c r="AQ80" s="1026" t="e">
        <f t="shared" si="118"/>
        <v>#DIV/0!</v>
      </c>
      <c r="AR80" s="958">
        <f t="shared" ref="AR80:AR91" si="134">+AJ80-AO80</f>
        <v>0</v>
      </c>
      <c r="AS80" s="958">
        <v>49485000</v>
      </c>
      <c r="AT80" s="958">
        <v>49485000</v>
      </c>
      <c r="AU80" s="958">
        <v>7392797</v>
      </c>
      <c r="AV80" s="958">
        <v>7129592</v>
      </c>
      <c r="AW80" s="958"/>
      <c r="AX80" s="958"/>
      <c r="AY80" s="1027" t="e">
        <f t="shared" si="109"/>
        <v>#DIV/0!</v>
      </c>
      <c r="AZ80" s="1071">
        <v>870000000</v>
      </c>
      <c r="BA80" s="1000">
        <f t="shared" si="120"/>
        <v>622112629</v>
      </c>
      <c r="BB80" s="1026">
        <f t="shared" si="115"/>
        <v>0.71507198735632183</v>
      </c>
      <c r="BC80" s="1029">
        <f t="shared" si="121"/>
        <v>621849424</v>
      </c>
      <c r="BD80" s="973">
        <f t="shared" si="122"/>
        <v>0.71476945287356319</v>
      </c>
      <c r="BE80" s="1030"/>
      <c r="BF80" s="1030"/>
      <c r="BG80" s="952" t="s">
        <v>448</v>
      </c>
      <c r="BH80" s="1072" t="s">
        <v>2253</v>
      </c>
      <c r="BI80" s="908" t="s">
        <v>2103</v>
      </c>
    </row>
    <row r="81" spans="1:61" s="908" customFormat="1" ht="47.4" customHeight="1">
      <c r="A81" s="1112" t="s">
        <v>1929</v>
      </c>
      <c r="B81" s="1113" t="s">
        <v>2283</v>
      </c>
      <c r="C81" s="980" t="s">
        <v>2108</v>
      </c>
      <c r="D81" s="1033">
        <v>0</v>
      </c>
      <c r="E81" s="1033">
        <v>0</v>
      </c>
      <c r="F81" s="1033">
        <v>1</v>
      </c>
      <c r="G81" s="1033">
        <v>2</v>
      </c>
      <c r="H81" s="949">
        <v>0</v>
      </c>
      <c r="I81" s="949">
        <v>0</v>
      </c>
      <c r="J81" s="982">
        <v>1</v>
      </c>
      <c r="K81" s="982">
        <v>2</v>
      </c>
      <c r="L81" s="949"/>
      <c r="M81" s="949"/>
      <c r="N81" s="949"/>
      <c r="O81" s="973">
        <f t="shared" si="131"/>
        <v>0</v>
      </c>
      <c r="P81" s="1021">
        <f t="shared" si="131"/>
        <v>0</v>
      </c>
      <c r="Q81" s="973">
        <f t="shared" si="131"/>
        <v>1</v>
      </c>
      <c r="R81" s="951">
        <f t="shared" ref="R81:R91" si="135">+IFERROR(IF(K81/G81&gt;=100%,100%,K81/G81),0)</f>
        <v>1</v>
      </c>
      <c r="S81" s="952" t="s">
        <v>2284</v>
      </c>
      <c r="T81" s="974">
        <v>45107</v>
      </c>
      <c r="U81" s="985" t="s">
        <v>2115</v>
      </c>
      <c r="V81" s="985"/>
      <c r="W81" s="952" t="s">
        <v>2116</v>
      </c>
      <c r="X81" s="976" t="s">
        <v>2250</v>
      </c>
      <c r="Y81" s="1035">
        <f t="shared" si="132"/>
        <v>3</v>
      </c>
      <c r="Z81" s="956">
        <f t="shared" si="133"/>
        <v>3</v>
      </c>
      <c r="AA81" s="1021">
        <f t="shared" ref="AA81:AA83" si="136">IF(Z81/Y81&gt;=100%,100%,Z81/Y81)</f>
        <v>1</v>
      </c>
      <c r="AB81" s="996">
        <v>0.13</v>
      </c>
      <c r="AC81" s="996">
        <v>0</v>
      </c>
      <c r="AD81" s="973">
        <v>0</v>
      </c>
      <c r="AE81" s="1023">
        <v>0.16</v>
      </c>
      <c r="AF81" s="1023">
        <v>0.22</v>
      </c>
      <c r="AG81" s="1117">
        <v>500000000</v>
      </c>
      <c r="AH81" s="958">
        <v>0</v>
      </c>
      <c r="AI81" s="958">
        <v>0</v>
      </c>
      <c r="AJ81" s="958">
        <v>349413380</v>
      </c>
      <c r="AK81" s="958">
        <v>495010937</v>
      </c>
      <c r="AL81" s="1025">
        <f t="shared" si="117"/>
        <v>0.99002187399999997</v>
      </c>
      <c r="AM81" s="958">
        <v>0</v>
      </c>
      <c r="AN81" s="958">
        <v>0</v>
      </c>
      <c r="AO81" s="958">
        <v>346183084</v>
      </c>
      <c r="AP81" s="958">
        <v>472400614</v>
      </c>
      <c r="AQ81" s="1026">
        <f t="shared" si="118"/>
        <v>0.94480122799999999</v>
      </c>
      <c r="AR81" s="958">
        <f t="shared" si="134"/>
        <v>3230296</v>
      </c>
      <c r="AS81" s="958">
        <v>0</v>
      </c>
      <c r="AT81" s="958">
        <v>0</v>
      </c>
      <c r="AU81" s="958"/>
      <c r="AV81" s="958"/>
      <c r="AW81" s="958">
        <v>3230296</v>
      </c>
      <c r="AX81" s="958">
        <v>3065118</v>
      </c>
      <c r="AY81" s="1027">
        <f t="shared" si="109"/>
        <v>33.144391411808698</v>
      </c>
      <c r="AZ81" s="1071">
        <v>850000000</v>
      </c>
      <c r="BA81" s="1000">
        <f t="shared" si="120"/>
        <v>844424317</v>
      </c>
      <c r="BB81" s="973">
        <f t="shared" si="115"/>
        <v>0.99344037294117649</v>
      </c>
      <c r="BC81" s="1029">
        <f t="shared" si="121"/>
        <v>821648816</v>
      </c>
      <c r="BD81" s="973">
        <f t="shared" si="122"/>
        <v>0.9666456658823529</v>
      </c>
      <c r="BE81" s="1030"/>
      <c r="BF81" s="1030"/>
      <c r="BG81" s="952" t="s">
        <v>448</v>
      </c>
      <c r="BH81" s="1072" t="s">
        <v>2253</v>
      </c>
      <c r="BI81" s="908" t="s">
        <v>2103</v>
      </c>
    </row>
    <row r="82" spans="1:61" s="908" customFormat="1" ht="47.4" customHeight="1">
      <c r="A82" s="1112" t="s">
        <v>1846</v>
      </c>
      <c r="B82" s="1113" t="s">
        <v>2285</v>
      </c>
      <c r="C82" s="980" t="s">
        <v>2108</v>
      </c>
      <c r="D82" s="1033">
        <v>0.1</v>
      </c>
      <c r="E82" s="1033">
        <v>0.1</v>
      </c>
      <c r="F82" s="1033">
        <v>100</v>
      </c>
      <c r="G82" s="1033">
        <v>100</v>
      </c>
      <c r="H82" s="1033">
        <v>0.1</v>
      </c>
      <c r="I82" s="1033">
        <v>0.1</v>
      </c>
      <c r="J82" s="949">
        <v>100</v>
      </c>
      <c r="K82" s="949">
        <v>56</v>
      </c>
      <c r="L82" s="949"/>
      <c r="M82" s="949">
        <v>0.1</v>
      </c>
      <c r="N82" s="949"/>
      <c r="O82" s="973">
        <f t="shared" si="131"/>
        <v>1</v>
      </c>
      <c r="P82" s="973">
        <f t="shared" si="131"/>
        <v>1</v>
      </c>
      <c r="Q82" s="973">
        <f t="shared" si="131"/>
        <v>1</v>
      </c>
      <c r="R82" s="951">
        <f t="shared" si="135"/>
        <v>0.56000000000000005</v>
      </c>
      <c r="S82" s="953" t="s">
        <v>2286</v>
      </c>
      <c r="T82" s="974">
        <v>45107</v>
      </c>
      <c r="U82" s="985" t="s">
        <v>2115</v>
      </c>
      <c r="V82" s="985"/>
      <c r="W82" s="952" t="s">
        <v>2116</v>
      </c>
      <c r="X82" s="976" t="s">
        <v>2250</v>
      </c>
      <c r="Y82" s="1035">
        <f t="shared" si="132"/>
        <v>200.2</v>
      </c>
      <c r="Z82" s="956">
        <f t="shared" si="133"/>
        <v>156.29999999999998</v>
      </c>
      <c r="AA82" s="1021">
        <f t="shared" si="136"/>
        <v>0.78071928071928065</v>
      </c>
      <c r="AB82" s="996">
        <v>0.1</v>
      </c>
      <c r="AC82" s="996">
        <v>0.26</v>
      </c>
      <c r="AD82" s="973">
        <v>0.17</v>
      </c>
      <c r="AE82" s="1023">
        <v>0.13</v>
      </c>
      <c r="AF82" s="1023">
        <v>0.18</v>
      </c>
      <c r="AG82" s="1118">
        <v>563000000</v>
      </c>
      <c r="AH82" s="1037">
        <v>43500000</v>
      </c>
      <c r="AI82" s="958">
        <v>57995812</v>
      </c>
      <c r="AJ82" s="958">
        <v>425207843</v>
      </c>
      <c r="AK82" s="958">
        <v>493374250</v>
      </c>
      <c r="AL82" s="1025">
        <f t="shared" si="117"/>
        <v>0.87633081705150973</v>
      </c>
      <c r="AM82" s="1037">
        <v>0</v>
      </c>
      <c r="AN82" s="1118">
        <v>36224932</v>
      </c>
      <c r="AO82" s="1118">
        <v>422120093</v>
      </c>
      <c r="AP82" s="1118">
        <v>467731208.69</v>
      </c>
      <c r="AQ82" s="1026">
        <f t="shared" si="118"/>
        <v>0.83078367440497336</v>
      </c>
      <c r="AR82" s="958">
        <f t="shared" si="134"/>
        <v>3087750</v>
      </c>
      <c r="AS82" s="958">
        <v>43500000</v>
      </c>
      <c r="AT82" s="958">
        <v>43500000</v>
      </c>
      <c r="AU82" s="958">
        <v>21770880</v>
      </c>
      <c r="AV82" s="958">
        <v>21715850</v>
      </c>
      <c r="AW82" s="958">
        <v>3087750</v>
      </c>
      <c r="AX82" s="958">
        <v>2769462</v>
      </c>
      <c r="AY82" s="1027">
        <f t="shared" si="109"/>
        <v>0</v>
      </c>
      <c r="AZ82" s="1050">
        <v>1052160427</v>
      </c>
      <c r="BA82" s="1000">
        <f t="shared" si="120"/>
        <v>1020077905</v>
      </c>
      <c r="BB82" s="973">
        <f t="shared" si="115"/>
        <v>0.96950795603340056</v>
      </c>
      <c r="BC82" s="1029">
        <f t="shared" si="121"/>
        <v>994061545.69000006</v>
      </c>
      <c r="BD82" s="973">
        <f t="shared" si="122"/>
        <v>0.94478134719849149</v>
      </c>
      <c r="BE82" s="1030"/>
      <c r="BF82" s="1030"/>
      <c r="BG82" s="952" t="s">
        <v>556</v>
      </c>
      <c r="BH82" s="1072" t="s">
        <v>2253</v>
      </c>
      <c r="BI82" s="908" t="s">
        <v>2103</v>
      </c>
    </row>
    <row r="83" spans="1:61" s="908" customFormat="1" ht="47.4" customHeight="1">
      <c r="A83" s="1112" t="s">
        <v>2287</v>
      </c>
      <c r="B83" s="1113" t="s">
        <v>2288</v>
      </c>
      <c r="C83" s="980" t="s">
        <v>2108</v>
      </c>
      <c r="D83" s="1033">
        <v>0</v>
      </c>
      <c r="E83" s="1033">
        <v>0</v>
      </c>
      <c r="F83" s="1033">
        <v>50</v>
      </c>
      <c r="G83" s="1033">
        <v>86</v>
      </c>
      <c r="H83" s="949">
        <v>0</v>
      </c>
      <c r="I83" s="949">
        <v>0</v>
      </c>
      <c r="J83" s="949">
        <v>63</v>
      </c>
      <c r="K83" s="949">
        <v>86</v>
      </c>
      <c r="L83" s="949"/>
      <c r="M83" s="949"/>
      <c r="N83" s="949"/>
      <c r="O83" s="973">
        <f t="shared" si="131"/>
        <v>0</v>
      </c>
      <c r="P83" s="1021">
        <f t="shared" si="131"/>
        <v>0</v>
      </c>
      <c r="Q83" s="973">
        <f t="shared" si="131"/>
        <v>1</v>
      </c>
      <c r="R83" s="951">
        <f t="shared" si="135"/>
        <v>1</v>
      </c>
      <c r="S83" s="952" t="s">
        <v>2289</v>
      </c>
      <c r="T83" s="974">
        <v>45107</v>
      </c>
      <c r="U83" s="975"/>
      <c r="V83" s="1119"/>
      <c r="W83" s="952"/>
      <c r="X83" s="1119"/>
      <c r="Y83" s="1035">
        <f t="shared" si="132"/>
        <v>136</v>
      </c>
      <c r="Z83" s="956">
        <f t="shared" si="133"/>
        <v>149</v>
      </c>
      <c r="AA83" s="1021">
        <f t="shared" si="136"/>
        <v>1</v>
      </c>
      <c r="AB83" s="996">
        <v>0.18</v>
      </c>
      <c r="AC83" s="996">
        <v>0</v>
      </c>
      <c r="AD83" s="973">
        <v>0</v>
      </c>
      <c r="AE83" s="1023">
        <v>0.21</v>
      </c>
      <c r="AF83" s="1023">
        <v>0.26</v>
      </c>
      <c r="AG83" s="1117">
        <v>5000000</v>
      </c>
      <c r="AH83" s="958">
        <v>0</v>
      </c>
      <c r="AI83" s="958">
        <v>0</v>
      </c>
      <c r="AJ83" s="958">
        <v>66525102</v>
      </c>
      <c r="AK83" s="958">
        <v>5000000</v>
      </c>
      <c r="AL83" s="1025">
        <f t="shared" si="117"/>
        <v>1</v>
      </c>
      <c r="AM83" s="958">
        <v>0</v>
      </c>
      <c r="AN83" s="958">
        <v>0</v>
      </c>
      <c r="AO83" s="958">
        <v>63484848</v>
      </c>
      <c r="AP83" s="958">
        <v>5000000</v>
      </c>
      <c r="AQ83" s="1026">
        <f t="shared" si="118"/>
        <v>1</v>
      </c>
      <c r="AR83" s="958">
        <f t="shared" si="134"/>
        <v>3040254</v>
      </c>
      <c r="AS83" s="958">
        <v>0</v>
      </c>
      <c r="AT83" s="958">
        <v>0</v>
      </c>
      <c r="AU83" s="958"/>
      <c r="AV83" s="958"/>
      <c r="AW83" s="958">
        <v>3040254</v>
      </c>
      <c r="AX83" s="958">
        <v>2531142</v>
      </c>
      <c r="AY83" s="1027">
        <f t="shared" si="109"/>
        <v>1.0081782640529378</v>
      </c>
      <c r="AZ83" s="1071">
        <v>72300000</v>
      </c>
      <c r="BA83" s="1000">
        <f t="shared" si="120"/>
        <v>71525102</v>
      </c>
      <c r="BB83" s="973">
        <f t="shared" si="115"/>
        <v>0.9892821853388658</v>
      </c>
      <c r="BC83" s="1029">
        <f t="shared" si="121"/>
        <v>71015990</v>
      </c>
      <c r="BD83" s="973">
        <f t="shared" si="122"/>
        <v>0.98224052558782848</v>
      </c>
      <c r="BE83" s="1030"/>
      <c r="BF83" s="1030"/>
      <c r="BG83" s="952" t="s">
        <v>1703</v>
      </c>
      <c r="BH83" s="1072" t="s">
        <v>2290</v>
      </c>
      <c r="BI83" s="908" t="s">
        <v>2103</v>
      </c>
    </row>
    <row r="84" spans="1:61" s="908" customFormat="1" ht="47.4" customHeight="1">
      <c r="A84" s="1112" t="s">
        <v>2291</v>
      </c>
      <c r="B84" s="1113" t="s">
        <v>2292</v>
      </c>
      <c r="C84" s="980" t="s">
        <v>2108</v>
      </c>
      <c r="D84" s="1033">
        <v>0</v>
      </c>
      <c r="E84" s="1033">
        <v>0</v>
      </c>
      <c r="F84" s="1033">
        <v>750</v>
      </c>
      <c r="G84" s="1033">
        <v>750</v>
      </c>
      <c r="H84" s="949">
        <v>0</v>
      </c>
      <c r="I84" s="949">
        <v>0</v>
      </c>
      <c r="J84" s="949">
        <v>0</v>
      </c>
      <c r="K84" s="949">
        <v>0</v>
      </c>
      <c r="L84" s="949"/>
      <c r="M84" s="949"/>
      <c r="N84" s="949"/>
      <c r="O84" s="973">
        <f t="shared" si="131"/>
        <v>0</v>
      </c>
      <c r="P84" s="1021">
        <f t="shared" si="131"/>
        <v>0</v>
      </c>
      <c r="Q84" s="973">
        <f t="shared" si="131"/>
        <v>0</v>
      </c>
      <c r="R84" s="951">
        <f t="shared" si="135"/>
        <v>0</v>
      </c>
      <c r="S84" s="952" t="s">
        <v>2293</v>
      </c>
      <c r="T84" s="974">
        <v>45107</v>
      </c>
      <c r="U84" s="985" t="s">
        <v>2115</v>
      </c>
      <c r="V84" s="985"/>
      <c r="W84" s="952" t="s">
        <v>2116</v>
      </c>
      <c r="X84" s="976" t="s">
        <v>2250</v>
      </c>
      <c r="Y84" s="1035">
        <f t="shared" si="132"/>
        <v>1500</v>
      </c>
      <c r="Z84" s="956">
        <f t="shared" si="133"/>
        <v>0</v>
      </c>
      <c r="AA84" s="1021">
        <f>IF(Z84/Y84&gt;=100%,100%,Z84/Y84)</f>
        <v>0</v>
      </c>
      <c r="AB84" s="996">
        <v>0.05</v>
      </c>
      <c r="AC84" s="996">
        <v>0</v>
      </c>
      <c r="AD84" s="973">
        <v>0</v>
      </c>
      <c r="AE84" s="1023">
        <v>0.06</v>
      </c>
      <c r="AF84" s="1023">
        <v>0.09</v>
      </c>
      <c r="AG84" s="1117">
        <v>300000000</v>
      </c>
      <c r="AH84" s="958">
        <v>0</v>
      </c>
      <c r="AI84" s="958">
        <v>0</v>
      </c>
      <c r="AJ84" s="958">
        <v>349613127</v>
      </c>
      <c r="AK84" s="958">
        <v>300000000</v>
      </c>
      <c r="AL84" s="1025">
        <f t="shared" si="117"/>
        <v>1</v>
      </c>
      <c r="AM84" s="958">
        <v>0</v>
      </c>
      <c r="AN84" s="958">
        <v>0</v>
      </c>
      <c r="AO84" s="958">
        <v>347348899</v>
      </c>
      <c r="AP84" s="958">
        <v>106071163</v>
      </c>
      <c r="AQ84" s="1026">
        <f t="shared" si="118"/>
        <v>0.35357054333333332</v>
      </c>
      <c r="AR84" s="958">
        <f t="shared" si="134"/>
        <v>2264228</v>
      </c>
      <c r="AS84" s="958">
        <v>0</v>
      </c>
      <c r="AT84" s="958">
        <v>0</v>
      </c>
      <c r="AU84" s="958"/>
      <c r="AV84" s="958"/>
      <c r="AW84" s="958">
        <v>2264228</v>
      </c>
      <c r="AX84" s="958">
        <v>2010050</v>
      </c>
      <c r="AY84" s="1027">
        <f>+AX82/AW84</f>
        <v>1.2231374225563856</v>
      </c>
      <c r="AZ84" s="1050">
        <v>650000000</v>
      </c>
      <c r="BA84" s="1000">
        <f t="shared" si="120"/>
        <v>649613127</v>
      </c>
      <c r="BB84" s="973">
        <f t="shared" si="115"/>
        <v>0.99940481076923082</v>
      </c>
      <c r="BC84" s="1029">
        <f t="shared" si="121"/>
        <v>455430112</v>
      </c>
      <c r="BD84" s="973">
        <f t="shared" si="122"/>
        <v>0.70066171076923078</v>
      </c>
      <c r="BE84" s="1030"/>
      <c r="BF84" s="1030"/>
      <c r="BG84" s="952" t="s">
        <v>347</v>
      </c>
      <c r="BH84" s="1072" t="s">
        <v>2290</v>
      </c>
    </row>
    <row r="85" spans="1:61" s="908" customFormat="1" ht="193.2" hidden="1">
      <c r="A85" s="1120" t="s">
        <v>2294</v>
      </c>
      <c r="B85" s="1113" t="s">
        <v>2295</v>
      </c>
      <c r="C85" s="980" t="s">
        <v>2108</v>
      </c>
      <c r="D85" s="1066">
        <v>0</v>
      </c>
      <c r="E85" s="1066">
        <v>0</v>
      </c>
      <c r="F85" s="1066">
        <v>0</v>
      </c>
      <c r="G85" s="1067">
        <v>1</v>
      </c>
      <c r="H85" s="950">
        <v>0</v>
      </c>
      <c r="I85" s="950">
        <v>0</v>
      </c>
      <c r="J85" s="949">
        <v>0</v>
      </c>
      <c r="K85" s="949">
        <v>1</v>
      </c>
      <c r="L85" s="950"/>
      <c r="M85" s="950"/>
      <c r="N85" s="950"/>
      <c r="O85" s="973">
        <f t="shared" si="131"/>
        <v>0</v>
      </c>
      <c r="P85" s="1021">
        <f t="shared" si="131"/>
        <v>0</v>
      </c>
      <c r="Q85" s="973">
        <f t="shared" si="131"/>
        <v>0</v>
      </c>
      <c r="R85" s="951">
        <f t="shared" si="135"/>
        <v>1</v>
      </c>
      <c r="S85" s="952" t="s">
        <v>2296</v>
      </c>
      <c r="T85" s="974"/>
      <c r="U85" s="985"/>
      <c r="V85" s="985"/>
      <c r="W85" s="952"/>
      <c r="X85" s="976"/>
      <c r="Y85" s="1035">
        <f t="shared" ref="Y85" si="137">SUM(D85:G85)</f>
        <v>1</v>
      </c>
      <c r="Z85" s="956">
        <f t="shared" si="133"/>
        <v>1</v>
      </c>
      <c r="AA85" s="1021">
        <f>IF(Z85/Y85&gt;=100%,100%,Z85/Y85)</f>
        <v>1</v>
      </c>
      <c r="AB85" s="996">
        <v>0.05</v>
      </c>
      <c r="AC85" s="996">
        <v>0</v>
      </c>
      <c r="AD85" s="973">
        <v>0</v>
      </c>
      <c r="AE85" s="1023">
        <v>0.06</v>
      </c>
      <c r="AF85" s="1023">
        <v>0.09</v>
      </c>
      <c r="AG85" s="1117">
        <v>0</v>
      </c>
      <c r="AH85" s="958">
        <v>0</v>
      </c>
      <c r="AI85" s="958">
        <v>0</v>
      </c>
      <c r="AJ85" s="958">
        <v>0</v>
      </c>
      <c r="AK85" s="958">
        <v>0</v>
      </c>
      <c r="AL85" s="1025" t="e">
        <f t="shared" si="117"/>
        <v>#DIV/0!</v>
      </c>
      <c r="AM85" s="958">
        <v>0</v>
      </c>
      <c r="AN85" s="958">
        <v>0</v>
      </c>
      <c r="AO85" s="958">
        <v>0</v>
      </c>
      <c r="AP85" s="958">
        <v>0</v>
      </c>
      <c r="AQ85" s="1026">
        <v>0</v>
      </c>
      <c r="AR85" s="958">
        <f t="shared" si="134"/>
        <v>0</v>
      </c>
      <c r="AS85" s="958">
        <v>0</v>
      </c>
      <c r="AT85" s="958">
        <v>0</v>
      </c>
      <c r="AU85" s="958"/>
      <c r="AV85" s="958"/>
      <c r="AW85" s="958"/>
      <c r="AX85" s="958"/>
      <c r="AY85" s="1027" t="e">
        <f>+AX83/AW85</f>
        <v>#DIV/0!</v>
      </c>
      <c r="AZ85" s="1050">
        <v>0</v>
      </c>
      <c r="BA85" s="1000">
        <f t="shared" ref="BA85" si="138">SUM(AH85:AK85)</f>
        <v>0</v>
      </c>
      <c r="BB85" s="973">
        <v>0</v>
      </c>
      <c r="BC85" s="1029">
        <f t="shared" ref="BC85" si="139">SUM(AM85:AP85)+AT85+AV85+AX85</f>
        <v>0</v>
      </c>
      <c r="BD85" s="973">
        <v>0</v>
      </c>
      <c r="BE85" s="1030"/>
      <c r="BF85" s="1030"/>
      <c r="BG85" s="952" t="s">
        <v>347</v>
      </c>
      <c r="BH85" s="1072" t="s">
        <v>2290</v>
      </c>
    </row>
    <row r="86" spans="1:61" s="908" customFormat="1" ht="47.4" customHeight="1">
      <c r="A86" s="1112" t="s">
        <v>1928</v>
      </c>
      <c r="B86" s="1113" t="s">
        <v>2297</v>
      </c>
      <c r="C86" s="980" t="s">
        <v>2108</v>
      </c>
      <c r="D86" s="1033">
        <v>0</v>
      </c>
      <c r="E86" s="1033">
        <v>0</v>
      </c>
      <c r="F86" s="1033">
        <v>2</v>
      </c>
      <c r="G86" s="1033">
        <v>2</v>
      </c>
      <c r="H86" s="949">
        <v>0</v>
      </c>
      <c r="I86" s="949">
        <v>0</v>
      </c>
      <c r="J86" s="949">
        <v>2</v>
      </c>
      <c r="K86" s="949">
        <v>2</v>
      </c>
      <c r="L86" s="949"/>
      <c r="M86" s="949"/>
      <c r="N86" s="949"/>
      <c r="O86" s="973">
        <f t="shared" si="131"/>
        <v>0</v>
      </c>
      <c r="P86" s="1021">
        <f t="shared" si="131"/>
        <v>0</v>
      </c>
      <c r="Q86" s="973">
        <f t="shared" si="131"/>
        <v>1</v>
      </c>
      <c r="R86" s="951">
        <f t="shared" si="135"/>
        <v>1</v>
      </c>
      <c r="S86" s="952" t="s">
        <v>2298</v>
      </c>
      <c r="T86" s="974">
        <v>45107</v>
      </c>
      <c r="U86" s="985" t="s">
        <v>2115</v>
      </c>
      <c r="V86" s="985"/>
      <c r="W86" s="952" t="s">
        <v>2116</v>
      </c>
      <c r="X86" s="976" t="s">
        <v>2250</v>
      </c>
      <c r="Y86" s="1035">
        <f t="shared" si="132"/>
        <v>4</v>
      </c>
      <c r="Z86" s="956">
        <f t="shared" si="133"/>
        <v>4</v>
      </c>
      <c r="AA86" s="1021">
        <f t="shared" ref="AA86:AA87" si="140">IF(Z86/Y86&gt;=100%,100%,Z86/Y86)</f>
        <v>1</v>
      </c>
      <c r="AB86" s="996">
        <v>0.08</v>
      </c>
      <c r="AC86" s="996">
        <v>0</v>
      </c>
      <c r="AD86" s="973">
        <v>0</v>
      </c>
      <c r="AE86" s="1023">
        <v>0.12</v>
      </c>
      <c r="AF86" s="1023">
        <v>0.16</v>
      </c>
      <c r="AG86" s="1117">
        <v>350000000</v>
      </c>
      <c r="AH86" s="958">
        <v>0</v>
      </c>
      <c r="AI86" s="958">
        <v>0</v>
      </c>
      <c r="AJ86" s="958">
        <v>349613127</v>
      </c>
      <c r="AK86" s="958">
        <v>350000000</v>
      </c>
      <c r="AL86" s="1025">
        <f t="shared" si="117"/>
        <v>1</v>
      </c>
      <c r="AM86" s="958">
        <v>0</v>
      </c>
      <c r="AN86" s="958">
        <v>0</v>
      </c>
      <c r="AO86" s="958">
        <v>347050299</v>
      </c>
      <c r="AP86" s="958">
        <v>34803023</v>
      </c>
      <c r="AQ86" s="1026">
        <f t="shared" si="118"/>
        <v>9.943720857142857E-2</v>
      </c>
      <c r="AR86" s="958">
        <f t="shared" si="134"/>
        <v>2562828</v>
      </c>
      <c r="AS86" s="958">
        <v>0</v>
      </c>
      <c r="AT86" s="958">
        <v>0</v>
      </c>
      <c r="AU86" s="958"/>
      <c r="AV86" s="958"/>
      <c r="AW86" s="958">
        <v>2562828</v>
      </c>
      <c r="AX86" s="958">
        <v>2308650</v>
      </c>
      <c r="AY86" s="1027">
        <f>+AX83/AW86</f>
        <v>0.98763631425909193</v>
      </c>
      <c r="AZ86" s="1050">
        <v>700000000</v>
      </c>
      <c r="BA86" s="1000">
        <f t="shared" si="120"/>
        <v>699613127</v>
      </c>
      <c r="BB86" s="973">
        <f t="shared" si="115"/>
        <v>0.99944732428571426</v>
      </c>
      <c r="BC86" s="1029">
        <f t="shared" si="121"/>
        <v>384161972</v>
      </c>
      <c r="BD86" s="973">
        <f t="shared" si="122"/>
        <v>0.54880281714285717</v>
      </c>
      <c r="BE86" s="1030"/>
      <c r="BF86" s="1030"/>
      <c r="BG86" s="952" t="s">
        <v>448</v>
      </c>
      <c r="BH86" s="1386" t="s">
        <v>2253</v>
      </c>
      <c r="BI86" s="908" t="s">
        <v>2103</v>
      </c>
    </row>
    <row r="87" spans="1:61" s="908" customFormat="1" ht="87" hidden="1" customHeight="1">
      <c r="A87" s="1112" t="s">
        <v>1838</v>
      </c>
      <c r="B87" s="1113" t="s">
        <v>2299</v>
      </c>
      <c r="C87" s="980" t="s">
        <v>2108</v>
      </c>
      <c r="D87" s="1066">
        <v>0</v>
      </c>
      <c r="E87" s="1066">
        <v>2</v>
      </c>
      <c r="F87" s="1066">
        <v>2</v>
      </c>
      <c r="G87" s="1066">
        <v>0</v>
      </c>
      <c r="H87" s="950">
        <v>0</v>
      </c>
      <c r="I87" s="950">
        <v>2</v>
      </c>
      <c r="J87" s="949">
        <v>2</v>
      </c>
      <c r="K87" s="949"/>
      <c r="L87" s="950"/>
      <c r="M87" s="950"/>
      <c r="N87" s="950"/>
      <c r="O87" s="973">
        <f t="shared" si="131"/>
        <v>0</v>
      </c>
      <c r="P87" s="973">
        <f t="shared" si="131"/>
        <v>1</v>
      </c>
      <c r="Q87" s="973">
        <f t="shared" si="131"/>
        <v>1</v>
      </c>
      <c r="R87" s="951">
        <f t="shared" si="135"/>
        <v>0</v>
      </c>
      <c r="S87" s="952"/>
      <c r="T87" s="952"/>
      <c r="U87" s="985"/>
      <c r="V87" s="985"/>
      <c r="W87" s="952"/>
      <c r="X87" s="948"/>
      <c r="Y87" s="1035">
        <f t="shared" si="132"/>
        <v>4</v>
      </c>
      <c r="Z87" s="956">
        <f t="shared" si="133"/>
        <v>4</v>
      </c>
      <c r="AA87" s="1021">
        <f t="shared" si="140"/>
        <v>1</v>
      </c>
      <c r="AB87" s="996">
        <v>0.08</v>
      </c>
      <c r="AC87" s="996">
        <v>0</v>
      </c>
      <c r="AD87" s="973">
        <v>0.15</v>
      </c>
      <c r="AE87" s="1023">
        <v>0.11</v>
      </c>
      <c r="AF87" s="951">
        <v>0</v>
      </c>
      <c r="AG87" s="1116">
        <v>0</v>
      </c>
      <c r="AH87" s="958">
        <v>0</v>
      </c>
      <c r="AI87" s="958">
        <v>295651488</v>
      </c>
      <c r="AJ87" s="958">
        <v>299660398</v>
      </c>
      <c r="AK87" s="958">
        <v>0</v>
      </c>
      <c r="AL87" s="1025" t="e">
        <f t="shared" si="117"/>
        <v>#DIV/0!</v>
      </c>
      <c r="AM87" s="958">
        <v>0</v>
      </c>
      <c r="AN87" s="958">
        <v>163351145</v>
      </c>
      <c r="AO87" s="958">
        <v>297396474</v>
      </c>
      <c r="AP87" s="958"/>
      <c r="AQ87" s="1026" t="e">
        <f t="shared" si="118"/>
        <v>#DIV/0!</v>
      </c>
      <c r="AR87" s="958">
        <f t="shared" si="134"/>
        <v>2263924</v>
      </c>
      <c r="AS87" s="958">
        <v>0</v>
      </c>
      <c r="AT87" s="958">
        <v>0</v>
      </c>
      <c r="AU87" s="958">
        <v>132300343</v>
      </c>
      <c r="AV87" s="958">
        <v>132171341</v>
      </c>
      <c r="AW87" s="958">
        <v>2263924</v>
      </c>
      <c r="AX87" s="958">
        <v>1957201</v>
      </c>
      <c r="AY87" s="1027" t="e">
        <f>+#REF!/AW87</f>
        <v>#REF!</v>
      </c>
      <c r="AZ87" s="1071">
        <v>600000000</v>
      </c>
      <c r="BA87" s="1000">
        <f t="shared" si="120"/>
        <v>595311886</v>
      </c>
      <c r="BB87" s="973">
        <f t="shared" si="115"/>
        <v>0.99218647666666671</v>
      </c>
      <c r="BC87" s="1029">
        <f t="shared" si="121"/>
        <v>594876161</v>
      </c>
      <c r="BD87" s="973">
        <f t="shared" si="122"/>
        <v>0.99146026833333334</v>
      </c>
      <c r="BE87" s="1030"/>
      <c r="BF87" s="1030"/>
      <c r="BG87" s="952" t="s">
        <v>448</v>
      </c>
      <c r="BH87" s="1386"/>
      <c r="BI87" s="908" t="s">
        <v>2103</v>
      </c>
    </row>
    <row r="88" spans="1:61" s="908" customFormat="1" ht="117" hidden="1" customHeight="1">
      <c r="A88" s="1112" t="s">
        <v>2300</v>
      </c>
      <c r="B88" s="1113" t="s">
        <v>2301</v>
      </c>
      <c r="C88" s="980" t="s">
        <v>2108</v>
      </c>
      <c r="D88" s="1066">
        <v>2</v>
      </c>
      <c r="E88" s="1066">
        <v>2</v>
      </c>
      <c r="F88" s="1066">
        <v>0</v>
      </c>
      <c r="G88" s="1066">
        <v>0</v>
      </c>
      <c r="H88" s="950">
        <v>1</v>
      </c>
      <c r="I88" s="950">
        <v>2</v>
      </c>
      <c r="J88" s="949">
        <v>0</v>
      </c>
      <c r="K88" s="949"/>
      <c r="L88" s="949">
        <v>1</v>
      </c>
      <c r="M88" s="950"/>
      <c r="N88" s="950"/>
      <c r="O88" s="973">
        <f t="shared" si="131"/>
        <v>1</v>
      </c>
      <c r="P88" s="973">
        <f t="shared" si="131"/>
        <v>1</v>
      </c>
      <c r="Q88" s="951">
        <f t="shared" si="131"/>
        <v>0</v>
      </c>
      <c r="R88" s="951">
        <f t="shared" si="135"/>
        <v>0</v>
      </c>
      <c r="S88" s="952"/>
      <c r="T88" s="952"/>
      <c r="U88" s="984"/>
      <c r="V88" s="985"/>
      <c r="W88" s="952"/>
      <c r="X88" s="952"/>
      <c r="Y88" s="1035">
        <f t="shared" si="132"/>
        <v>4</v>
      </c>
      <c r="Z88" s="956">
        <f t="shared" si="133"/>
        <v>4</v>
      </c>
      <c r="AA88" s="1021">
        <f>IF(Z88/Y88&gt;=100%,100%,Z88/Y88)</f>
        <v>1</v>
      </c>
      <c r="AB88" s="996">
        <v>0.08</v>
      </c>
      <c r="AC88" s="996">
        <v>0.25</v>
      </c>
      <c r="AD88" s="973">
        <v>0.15</v>
      </c>
      <c r="AE88" s="951">
        <v>0</v>
      </c>
      <c r="AF88" s="951">
        <v>0</v>
      </c>
      <c r="AG88" s="1116">
        <v>0</v>
      </c>
      <c r="AH88" s="958">
        <v>0</v>
      </c>
      <c r="AI88" s="958">
        <v>345340879</v>
      </c>
      <c r="AJ88" s="958">
        <v>0</v>
      </c>
      <c r="AK88" s="958"/>
      <c r="AL88" s="1025" t="e">
        <f t="shared" si="117"/>
        <v>#DIV/0!</v>
      </c>
      <c r="AM88" s="958">
        <v>0</v>
      </c>
      <c r="AN88" s="958">
        <v>313958452</v>
      </c>
      <c r="AO88" s="958"/>
      <c r="AP88" s="958"/>
      <c r="AQ88" s="1026" t="e">
        <f t="shared" si="118"/>
        <v>#DIV/0!</v>
      </c>
      <c r="AR88" s="958">
        <f t="shared" si="134"/>
        <v>0</v>
      </c>
      <c r="AS88" s="958">
        <v>0</v>
      </c>
      <c r="AT88" s="958">
        <v>0</v>
      </c>
      <c r="AU88" s="958">
        <v>31382427</v>
      </c>
      <c r="AV88" s="958">
        <v>31244211</v>
      </c>
      <c r="AW88" s="958"/>
      <c r="AX88" s="958"/>
      <c r="AY88" s="1027" t="e">
        <f t="shared" si="109"/>
        <v>#DIV/0!</v>
      </c>
      <c r="AZ88" s="1071">
        <v>700000000</v>
      </c>
      <c r="BA88" s="1000">
        <f t="shared" si="120"/>
        <v>345340879</v>
      </c>
      <c r="BB88" s="973">
        <f t="shared" si="115"/>
        <v>0.49334411285714286</v>
      </c>
      <c r="BC88" s="1029">
        <f t="shared" si="121"/>
        <v>345202663</v>
      </c>
      <c r="BD88" s="973">
        <f t="shared" si="122"/>
        <v>0.49314666142857144</v>
      </c>
      <c r="BE88" s="1030"/>
      <c r="BF88" s="1030"/>
      <c r="BG88" s="952" t="s">
        <v>448</v>
      </c>
      <c r="BH88" s="1072" t="s">
        <v>2160</v>
      </c>
      <c r="BI88" s="908" t="s">
        <v>2103</v>
      </c>
    </row>
    <row r="89" spans="1:61" s="908" customFormat="1" ht="85.5" hidden="1" customHeight="1">
      <c r="A89" s="1112" t="s">
        <v>1840</v>
      </c>
      <c r="B89" s="1113" t="s">
        <v>2302</v>
      </c>
      <c r="C89" s="980" t="s">
        <v>2108</v>
      </c>
      <c r="D89" s="1066">
        <v>0</v>
      </c>
      <c r="E89" s="1066">
        <v>2</v>
      </c>
      <c r="F89" s="1033">
        <v>2</v>
      </c>
      <c r="G89" s="1033">
        <v>0</v>
      </c>
      <c r="H89" s="950">
        <v>0</v>
      </c>
      <c r="I89" s="950">
        <v>2</v>
      </c>
      <c r="J89" s="949">
        <v>2</v>
      </c>
      <c r="K89" s="949"/>
      <c r="L89" s="950"/>
      <c r="M89" s="950"/>
      <c r="N89" s="950"/>
      <c r="O89" s="973">
        <f t="shared" si="131"/>
        <v>0</v>
      </c>
      <c r="P89" s="973">
        <f t="shared" si="131"/>
        <v>1</v>
      </c>
      <c r="Q89" s="973">
        <f t="shared" si="131"/>
        <v>1</v>
      </c>
      <c r="R89" s="951">
        <f t="shared" si="135"/>
        <v>0</v>
      </c>
      <c r="S89" s="952"/>
      <c r="T89" s="952"/>
      <c r="U89" s="985"/>
      <c r="V89" s="985"/>
      <c r="W89" s="952"/>
      <c r="X89" s="948"/>
      <c r="Y89" s="1035">
        <f t="shared" si="132"/>
        <v>4</v>
      </c>
      <c r="Z89" s="956">
        <f t="shared" si="133"/>
        <v>4</v>
      </c>
      <c r="AA89" s="1021">
        <f t="shared" ref="AA89:AA91" si="141">IF(Z89/Y89&gt;=100%,100%,Z89/Y89)</f>
        <v>1</v>
      </c>
      <c r="AB89" s="996">
        <v>0.05</v>
      </c>
      <c r="AC89" s="996">
        <v>0</v>
      </c>
      <c r="AD89" s="973">
        <v>0.12</v>
      </c>
      <c r="AE89" s="1023">
        <v>0.08</v>
      </c>
      <c r="AF89" s="951">
        <v>0</v>
      </c>
      <c r="AG89" s="1116">
        <v>0</v>
      </c>
      <c r="AH89" s="958">
        <v>0</v>
      </c>
      <c r="AI89" s="958">
        <v>247208620</v>
      </c>
      <c r="AJ89" s="958">
        <v>699225102</v>
      </c>
      <c r="AK89" s="958"/>
      <c r="AL89" s="1025" t="e">
        <f t="shared" si="117"/>
        <v>#DIV/0!</v>
      </c>
      <c r="AM89" s="958">
        <v>0</v>
      </c>
      <c r="AN89" s="958">
        <v>238066644</v>
      </c>
      <c r="AO89" s="958">
        <v>665935670</v>
      </c>
      <c r="AP89" s="958"/>
      <c r="AQ89" s="1026" t="e">
        <f t="shared" si="118"/>
        <v>#DIV/0!</v>
      </c>
      <c r="AR89" s="958">
        <f t="shared" si="134"/>
        <v>33289432</v>
      </c>
      <c r="AS89" s="958">
        <v>0</v>
      </c>
      <c r="AT89" s="958">
        <v>0</v>
      </c>
      <c r="AU89" s="958">
        <v>9141976</v>
      </c>
      <c r="AV89" s="958">
        <v>8999836</v>
      </c>
      <c r="AW89" s="958">
        <v>33289432</v>
      </c>
      <c r="AX89" s="958">
        <v>32950319</v>
      </c>
      <c r="AY89" s="1027">
        <f t="shared" si="109"/>
        <v>5.8793463342961212E-2</v>
      </c>
      <c r="AZ89" s="1071">
        <v>1000000000</v>
      </c>
      <c r="BA89" s="1000">
        <f t="shared" si="120"/>
        <v>946433722</v>
      </c>
      <c r="BB89" s="1026">
        <f t="shared" si="115"/>
        <v>0.94643372199999998</v>
      </c>
      <c r="BC89" s="1029">
        <f t="shared" si="121"/>
        <v>945952469</v>
      </c>
      <c r="BD89" s="973">
        <f t="shared" si="122"/>
        <v>0.94595246899999996</v>
      </c>
      <c r="BE89" s="1030"/>
      <c r="BF89" s="1030"/>
      <c r="BG89" s="952" t="s">
        <v>448</v>
      </c>
      <c r="BH89" s="1072" t="s">
        <v>2303</v>
      </c>
      <c r="BI89" s="908" t="s">
        <v>2103</v>
      </c>
    </row>
    <row r="90" spans="1:61" s="908" customFormat="1" ht="74.25" hidden="1" customHeight="1">
      <c r="A90" s="1112" t="s">
        <v>1841</v>
      </c>
      <c r="B90" s="1113" t="s">
        <v>2304</v>
      </c>
      <c r="C90" s="980" t="s">
        <v>2108</v>
      </c>
      <c r="D90" s="1066">
        <v>1</v>
      </c>
      <c r="E90" s="1066">
        <v>1</v>
      </c>
      <c r="F90" s="1066">
        <v>0</v>
      </c>
      <c r="G90" s="1066">
        <v>0</v>
      </c>
      <c r="H90" s="950">
        <v>0</v>
      </c>
      <c r="I90" s="950">
        <v>0</v>
      </c>
      <c r="J90" s="949">
        <v>0</v>
      </c>
      <c r="K90" s="949"/>
      <c r="L90" s="950">
        <v>0</v>
      </c>
      <c r="M90" s="950">
        <v>0</v>
      </c>
      <c r="N90" s="950"/>
      <c r="O90" s="973">
        <f t="shared" si="131"/>
        <v>0</v>
      </c>
      <c r="P90" s="973">
        <f t="shared" si="131"/>
        <v>0</v>
      </c>
      <c r="Q90" s="951">
        <f t="shared" si="131"/>
        <v>0</v>
      </c>
      <c r="R90" s="951">
        <f t="shared" si="135"/>
        <v>0</v>
      </c>
      <c r="S90" s="952"/>
      <c r="T90" s="952"/>
      <c r="U90" s="984"/>
      <c r="V90" s="985"/>
      <c r="W90" s="952"/>
      <c r="X90" s="952"/>
      <c r="Y90" s="1035">
        <f t="shared" si="132"/>
        <v>2</v>
      </c>
      <c r="Z90" s="956">
        <f t="shared" si="133"/>
        <v>0</v>
      </c>
      <c r="AA90" s="1021">
        <f t="shared" si="141"/>
        <v>0</v>
      </c>
      <c r="AB90" s="996">
        <v>0.05</v>
      </c>
      <c r="AC90" s="996">
        <v>0.22</v>
      </c>
      <c r="AD90" s="973">
        <v>0.12</v>
      </c>
      <c r="AE90" s="951">
        <v>0</v>
      </c>
      <c r="AF90" s="951">
        <v>0</v>
      </c>
      <c r="AG90" s="1116">
        <v>0</v>
      </c>
      <c r="AH90" s="958">
        <v>0</v>
      </c>
      <c r="AI90" s="958">
        <v>18451051</v>
      </c>
      <c r="AJ90" s="958">
        <v>0</v>
      </c>
      <c r="AK90" s="958"/>
      <c r="AL90" s="1025" t="e">
        <f t="shared" si="117"/>
        <v>#DIV/0!</v>
      </c>
      <c r="AM90" s="958">
        <v>0</v>
      </c>
      <c r="AN90" s="958">
        <v>11676317</v>
      </c>
      <c r="AO90" s="958"/>
      <c r="AP90" s="958"/>
      <c r="AQ90" s="1026" t="e">
        <f t="shared" si="118"/>
        <v>#DIV/0!</v>
      </c>
      <c r="AR90" s="958">
        <f t="shared" si="134"/>
        <v>0</v>
      </c>
      <c r="AS90" s="958">
        <v>0</v>
      </c>
      <c r="AT90" s="958">
        <v>0</v>
      </c>
      <c r="AU90" s="958">
        <v>6774734</v>
      </c>
      <c r="AV90" s="958">
        <v>6669452</v>
      </c>
      <c r="AW90" s="958"/>
      <c r="AX90" s="958"/>
      <c r="AY90" s="1027" t="e">
        <f t="shared" si="109"/>
        <v>#DIV/0!</v>
      </c>
      <c r="AZ90" s="1071">
        <v>470000000</v>
      </c>
      <c r="BA90" s="1000">
        <f t="shared" si="120"/>
        <v>18451051</v>
      </c>
      <c r="BB90" s="973">
        <f t="shared" si="115"/>
        <v>3.9257555319148936E-2</v>
      </c>
      <c r="BC90" s="1029">
        <f t="shared" si="121"/>
        <v>18345769</v>
      </c>
      <c r="BD90" s="973">
        <f t="shared" si="122"/>
        <v>3.9033551063829788E-2</v>
      </c>
      <c r="BE90" s="1030"/>
      <c r="BF90" s="1030"/>
      <c r="BG90" s="952" t="s">
        <v>448</v>
      </c>
      <c r="BH90" s="1386" t="s">
        <v>2303</v>
      </c>
      <c r="BI90" s="908" t="s">
        <v>2103</v>
      </c>
    </row>
    <row r="91" spans="1:61" s="908" customFormat="1" ht="124.5" hidden="1" customHeight="1">
      <c r="A91" s="1112" t="s">
        <v>2305</v>
      </c>
      <c r="B91" s="1113" t="s">
        <v>2306</v>
      </c>
      <c r="C91" s="980" t="s">
        <v>2108</v>
      </c>
      <c r="D91" s="1066">
        <v>0</v>
      </c>
      <c r="E91" s="1066">
        <v>2</v>
      </c>
      <c r="F91" s="1066">
        <v>2</v>
      </c>
      <c r="G91" s="1066">
        <v>0</v>
      </c>
      <c r="H91" s="950">
        <v>0</v>
      </c>
      <c r="I91" s="950">
        <v>2</v>
      </c>
      <c r="J91" s="949">
        <v>2</v>
      </c>
      <c r="K91" s="949"/>
      <c r="L91" s="950"/>
      <c r="M91" s="950"/>
      <c r="N91" s="950"/>
      <c r="O91" s="973">
        <f t="shared" si="131"/>
        <v>0</v>
      </c>
      <c r="P91" s="973">
        <f t="shared" si="131"/>
        <v>1</v>
      </c>
      <c r="Q91" s="973">
        <f t="shared" si="131"/>
        <v>1</v>
      </c>
      <c r="R91" s="951">
        <f t="shared" si="135"/>
        <v>0</v>
      </c>
      <c r="S91" s="952"/>
      <c r="T91" s="952"/>
      <c r="U91" s="985"/>
      <c r="V91" s="985"/>
      <c r="W91" s="952"/>
      <c r="X91" s="948"/>
      <c r="Y91" s="1035">
        <f t="shared" si="132"/>
        <v>4</v>
      </c>
      <c r="Z91" s="956">
        <f t="shared" si="133"/>
        <v>4</v>
      </c>
      <c r="AA91" s="1021">
        <f t="shared" si="141"/>
        <v>1</v>
      </c>
      <c r="AB91" s="996">
        <v>0.05</v>
      </c>
      <c r="AC91" s="996">
        <v>0</v>
      </c>
      <c r="AD91" s="973">
        <v>0.12</v>
      </c>
      <c r="AE91" s="1023">
        <v>7.0000000000000007E-2</v>
      </c>
      <c r="AF91" s="951">
        <v>0</v>
      </c>
      <c r="AG91" s="1116">
        <v>0</v>
      </c>
      <c r="AH91" s="958">
        <v>0</v>
      </c>
      <c r="AI91" s="958">
        <v>197204527</v>
      </c>
      <c r="AJ91" s="958">
        <v>174806563</v>
      </c>
      <c r="AK91" s="958"/>
      <c r="AL91" s="1025" t="e">
        <f t="shared" si="117"/>
        <v>#DIV/0!</v>
      </c>
      <c r="AM91" s="958">
        <v>0</v>
      </c>
      <c r="AN91" s="958">
        <v>191865736</v>
      </c>
      <c r="AO91" s="958">
        <v>113799978</v>
      </c>
      <c r="AP91" s="958"/>
      <c r="AQ91" s="1026" t="e">
        <f t="shared" si="118"/>
        <v>#DIV/0!</v>
      </c>
      <c r="AR91" s="958">
        <f t="shared" si="134"/>
        <v>61006585</v>
      </c>
      <c r="AS91" s="958">
        <v>0</v>
      </c>
      <c r="AT91" s="958">
        <v>0</v>
      </c>
      <c r="AU91" s="958">
        <v>5338791</v>
      </c>
      <c r="AV91" s="958">
        <v>5255861</v>
      </c>
      <c r="AW91" s="958">
        <v>61006585</v>
      </c>
      <c r="AX91" s="958">
        <v>59474253</v>
      </c>
      <c r="AY91" s="1027">
        <f t="shared" si="109"/>
        <v>0.54011085852453466</v>
      </c>
      <c r="AZ91" s="1071">
        <v>375000000</v>
      </c>
      <c r="BA91" s="1000">
        <f t="shared" si="120"/>
        <v>372011090</v>
      </c>
      <c r="BB91" s="973">
        <f t="shared" si="115"/>
        <v>0.9920295733333333</v>
      </c>
      <c r="BC91" s="1029">
        <f t="shared" si="121"/>
        <v>370395828</v>
      </c>
      <c r="BD91" s="973">
        <f t="shared" si="122"/>
        <v>0.98772220799999999</v>
      </c>
      <c r="BE91" s="1030"/>
      <c r="BF91" s="1030"/>
      <c r="BG91" s="952" t="s">
        <v>1703</v>
      </c>
      <c r="BH91" s="1370"/>
      <c r="BI91" s="908" t="s">
        <v>2103</v>
      </c>
    </row>
    <row r="92" spans="1:61" s="908" customFormat="1" ht="54" hidden="1" customHeight="1">
      <c r="A92" s="936" t="s">
        <v>2307</v>
      </c>
      <c r="B92" s="937"/>
      <c r="C92" s="937"/>
      <c r="D92" s="938"/>
      <c r="E92" s="938"/>
      <c r="F92" s="938"/>
      <c r="G92" s="938"/>
      <c r="H92" s="938"/>
      <c r="I92" s="938"/>
      <c r="J92" s="938"/>
      <c r="K92" s="938"/>
      <c r="L92" s="938"/>
      <c r="M92" s="938"/>
      <c r="N92" s="938"/>
      <c r="O92" s="939">
        <f>+SUMPRODUCT(O93:O96,AC93:AC96)</f>
        <v>0</v>
      </c>
      <c r="P92" s="939">
        <f t="shared" ref="P92:R92" si="142">+SUMPRODUCT(P93:P96,AD93:AD96)</f>
        <v>1</v>
      </c>
      <c r="Q92" s="939">
        <f t="shared" si="142"/>
        <v>1</v>
      </c>
      <c r="R92" s="939">
        <f t="shared" si="142"/>
        <v>1</v>
      </c>
      <c r="S92" s="937"/>
      <c r="T92" s="937"/>
      <c r="U92" s="937"/>
      <c r="V92" s="937"/>
      <c r="W92" s="937"/>
      <c r="X92" s="937"/>
      <c r="Y92" s="940"/>
      <c r="Z92" s="940"/>
      <c r="AA92" s="939">
        <f>+SUMPRODUCT(AA93:AA96,AB93:AB96)</f>
        <v>1</v>
      </c>
      <c r="AB92" s="939">
        <v>0.2</v>
      </c>
      <c r="AC92" s="939">
        <v>0</v>
      </c>
      <c r="AD92" s="939">
        <v>0.2</v>
      </c>
      <c r="AE92" s="939">
        <v>0.2</v>
      </c>
      <c r="AF92" s="939">
        <v>0.2</v>
      </c>
      <c r="AG92" s="937">
        <f>SUM(AG93:AG96)</f>
        <v>400000000</v>
      </c>
      <c r="AH92" s="937">
        <f>SUM(AH93:AH96)</f>
        <v>0</v>
      </c>
      <c r="AI92" s="937">
        <f>SUM(AI93:AI96)</f>
        <v>719594635</v>
      </c>
      <c r="AJ92" s="937">
        <f>SUM(AJ93:AJ96)</f>
        <v>324714322</v>
      </c>
      <c r="AK92" s="937">
        <f>SUM(AK93:AK96)</f>
        <v>400000000</v>
      </c>
      <c r="AL92" s="943">
        <f t="shared" si="117"/>
        <v>1</v>
      </c>
      <c r="AM92" s="937">
        <f>SUM(AM93:AM96)</f>
        <v>0</v>
      </c>
      <c r="AN92" s="937">
        <f>SUM(AN93:AN96)</f>
        <v>396251203</v>
      </c>
      <c r="AO92" s="937">
        <f>SUM(AO93:AO96)</f>
        <v>320749853</v>
      </c>
      <c r="AP92" s="937">
        <f>SUM(AP93:AP96)</f>
        <v>392220750</v>
      </c>
      <c r="AQ92" s="944">
        <f t="shared" si="118"/>
        <v>0.98055187499999996</v>
      </c>
      <c r="AR92" s="945">
        <f t="shared" ref="AR92:AX92" si="143">SUM(AR93:AR96)</f>
        <v>3964469</v>
      </c>
      <c r="AS92" s="937">
        <f t="shared" si="143"/>
        <v>0</v>
      </c>
      <c r="AT92" s="937">
        <f t="shared" si="143"/>
        <v>0</v>
      </c>
      <c r="AU92" s="937">
        <f t="shared" si="143"/>
        <v>323343432</v>
      </c>
      <c r="AV92" s="937">
        <f t="shared" si="143"/>
        <v>323034750</v>
      </c>
      <c r="AW92" s="937">
        <f t="shared" si="143"/>
        <v>3964469</v>
      </c>
      <c r="AX92" s="937">
        <f t="shared" si="143"/>
        <v>2572083</v>
      </c>
      <c r="AY92" s="946">
        <f t="shared" si="109"/>
        <v>0</v>
      </c>
      <c r="AZ92" s="937">
        <f>SUM(AZ93:AZ96)</f>
        <v>1455000000</v>
      </c>
      <c r="BA92" s="937">
        <f t="shared" si="120"/>
        <v>1444308957</v>
      </c>
      <c r="BB92" s="1017">
        <f t="shared" si="115"/>
        <v>0.99265220412371136</v>
      </c>
      <c r="BC92" s="1018">
        <f t="shared" si="121"/>
        <v>1434828639</v>
      </c>
      <c r="BD92" s="1017">
        <f t="shared" si="122"/>
        <v>0.98613652164948451</v>
      </c>
      <c r="BE92" s="945"/>
      <c r="BF92" s="945"/>
      <c r="BG92" s="945"/>
      <c r="BH92" s="945"/>
      <c r="BI92" s="908" t="s">
        <v>2103</v>
      </c>
    </row>
    <row r="93" spans="1:61" s="908" customFormat="1" ht="59.25" hidden="1" customHeight="1">
      <c r="A93" s="1103" t="s">
        <v>2308</v>
      </c>
      <c r="B93" s="1090" t="s">
        <v>2309</v>
      </c>
      <c r="C93" s="980" t="s">
        <v>2108</v>
      </c>
      <c r="D93" s="1091">
        <v>0</v>
      </c>
      <c r="E93" s="1091">
        <v>1</v>
      </c>
      <c r="F93" s="1091">
        <v>0</v>
      </c>
      <c r="G93" s="1091">
        <v>0</v>
      </c>
      <c r="H93" s="1091">
        <v>0</v>
      </c>
      <c r="I93" s="949">
        <v>1</v>
      </c>
      <c r="J93" s="949">
        <v>0</v>
      </c>
      <c r="K93" s="949"/>
      <c r="L93" s="949"/>
      <c r="M93" s="949"/>
      <c r="N93" s="949"/>
      <c r="O93" s="951">
        <f t="shared" ref="O93:Q96" si="144">+IFERROR(IF((H93+L93)/D93&gt;=100%,100%,(H93+L93)/D93),0)</f>
        <v>0</v>
      </c>
      <c r="P93" s="973">
        <f t="shared" si="144"/>
        <v>1</v>
      </c>
      <c r="Q93" s="951">
        <f t="shared" si="144"/>
        <v>0</v>
      </c>
      <c r="R93" s="951">
        <f t="shared" ref="R93:R96" si="145">+IFERROR(IF(K93/G93&gt;=100%,100%,K93/G93),0)</f>
        <v>0</v>
      </c>
      <c r="S93" s="953"/>
      <c r="T93" s="953"/>
      <c r="U93" s="954"/>
      <c r="V93" s="912"/>
      <c r="W93" s="953"/>
      <c r="X93" s="953"/>
      <c r="Y93" s="1091">
        <f t="shared" ref="Y93:Y96" si="146">SUM(D93:G93)</f>
        <v>1</v>
      </c>
      <c r="Z93" s="956">
        <f t="shared" ref="Z93:Z96" si="147">SUM(H93:N93)</f>
        <v>1</v>
      </c>
      <c r="AA93" s="957">
        <f t="shared" ref="AA93:AA96" si="148">IF(Z93/Y93&gt;=100%,100%,Z93/Y93)</f>
        <v>1</v>
      </c>
      <c r="AB93" s="996">
        <v>0.2</v>
      </c>
      <c r="AC93" s="996">
        <v>0</v>
      </c>
      <c r="AD93" s="996">
        <v>0.2</v>
      </c>
      <c r="AE93" s="996">
        <v>0</v>
      </c>
      <c r="AF93" s="951">
        <v>0</v>
      </c>
      <c r="AG93" s="1106">
        <v>0</v>
      </c>
      <c r="AH93" s="958">
        <v>0</v>
      </c>
      <c r="AI93" s="1106">
        <v>148136352</v>
      </c>
      <c r="AJ93" s="1106">
        <v>0</v>
      </c>
      <c r="AK93" s="1106"/>
      <c r="AL93" s="1025" t="e">
        <f t="shared" si="117"/>
        <v>#DIV/0!</v>
      </c>
      <c r="AM93" s="958">
        <v>0</v>
      </c>
      <c r="AN93" s="1106">
        <v>140580493</v>
      </c>
      <c r="AO93" s="1106"/>
      <c r="AP93" s="1106"/>
      <c r="AQ93" s="1026" t="e">
        <f t="shared" si="118"/>
        <v>#DIV/0!</v>
      </c>
      <c r="AR93" s="958">
        <f t="shared" ref="AR93:AR96" si="149">+AJ93-AO93</f>
        <v>0</v>
      </c>
      <c r="AS93" s="958">
        <v>0</v>
      </c>
      <c r="AT93" s="958">
        <v>0</v>
      </c>
      <c r="AU93" s="958">
        <v>7555859</v>
      </c>
      <c r="AV93" s="958">
        <v>7500573</v>
      </c>
      <c r="AW93" s="958"/>
      <c r="AX93" s="958"/>
      <c r="AY93" s="1027" t="e">
        <f t="shared" si="109"/>
        <v>#DIV/0!</v>
      </c>
      <c r="AZ93" s="1071">
        <v>150000000</v>
      </c>
      <c r="BA93" s="1000">
        <f t="shared" si="120"/>
        <v>148136352</v>
      </c>
      <c r="BB93" s="1026">
        <f t="shared" si="115"/>
        <v>0.98757567999999996</v>
      </c>
      <c r="BC93" s="1029">
        <f t="shared" si="121"/>
        <v>148081066</v>
      </c>
      <c r="BD93" s="973">
        <f t="shared" si="122"/>
        <v>0.98720710666666667</v>
      </c>
      <c r="BE93" s="1030"/>
      <c r="BF93" s="969"/>
      <c r="BG93" s="953" t="s">
        <v>767</v>
      </c>
      <c r="BH93" s="1387" t="s">
        <v>2253</v>
      </c>
    </row>
    <row r="94" spans="1:61" s="908" customFormat="1" ht="47.4" customHeight="1">
      <c r="A94" s="1103" t="s">
        <v>2310</v>
      </c>
      <c r="B94" s="1090" t="s">
        <v>2311</v>
      </c>
      <c r="C94" s="980" t="s">
        <v>2108</v>
      </c>
      <c r="D94" s="1033">
        <v>0</v>
      </c>
      <c r="E94" s="1033">
        <v>21</v>
      </c>
      <c r="F94" s="1033">
        <v>20</v>
      </c>
      <c r="G94" s="1033">
        <v>20</v>
      </c>
      <c r="H94" s="1033">
        <v>0</v>
      </c>
      <c r="I94" s="949">
        <v>27</v>
      </c>
      <c r="J94" s="949">
        <v>6</v>
      </c>
      <c r="K94" s="949">
        <v>20</v>
      </c>
      <c r="L94" s="949"/>
      <c r="M94" s="949"/>
      <c r="N94" s="949">
        <v>14</v>
      </c>
      <c r="O94" s="951">
        <f t="shared" si="144"/>
        <v>0</v>
      </c>
      <c r="P94" s="973">
        <f t="shared" si="144"/>
        <v>1</v>
      </c>
      <c r="Q94" s="973">
        <f t="shared" si="144"/>
        <v>1</v>
      </c>
      <c r="R94" s="951">
        <f t="shared" si="145"/>
        <v>1</v>
      </c>
      <c r="S94" s="953" t="s">
        <v>2312</v>
      </c>
      <c r="T94" s="974">
        <v>45107</v>
      </c>
      <c r="U94" s="985" t="s">
        <v>2115</v>
      </c>
      <c r="V94" s="985"/>
      <c r="W94" s="952" t="s">
        <v>2116</v>
      </c>
      <c r="X94" s="976" t="s">
        <v>2313</v>
      </c>
      <c r="Y94" s="956">
        <f t="shared" si="146"/>
        <v>61</v>
      </c>
      <c r="Z94" s="956">
        <f t="shared" si="147"/>
        <v>67</v>
      </c>
      <c r="AA94" s="957">
        <f t="shared" si="148"/>
        <v>1</v>
      </c>
      <c r="AB94" s="996">
        <v>0.3</v>
      </c>
      <c r="AC94" s="996">
        <v>0</v>
      </c>
      <c r="AD94" s="996">
        <v>0.3</v>
      </c>
      <c r="AE94" s="1121">
        <v>0.55000000000000004</v>
      </c>
      <c r="AF94" s="1121">
        <v>0.5</v>
      </c>
      <c r="AG94" s="1106">
        <v>200000000</v>
      </c>
      <c r="AH94" s="958">
        <v>0</v>
      </c>
      <c r="AI94" s="1106">
        <v>206893921</v>
      </c>
      <c r="AJ94" s="1106">
        <v>309778927</v>
      </c>
      <c r="AK94" s="1106">
        <v>200000000</v>
      </c>
      <c r="AL94" s="1025">
        <f t="shared" si="117"/>
        <v>1</v>
      </c>
      <c r="AM94" s="958">
        <v>0</v>
      </c>
      <c r="AN94" s="1106">
        <v>36560820</v>
      </c>
      <c r="AO94" s="1106">
        <v>308203832</v>
      </c>
      <c r="AP94" s="1106">
        <v>199390750</v>
      </c>
      <c r="AQ94" s="1026">
        <f t="shared" si="118"/>
        <v>0.99695374999999997</v>
      </c>
      <c r="AR94" s="958">
        <f t="shared" si="149"/>
        <v>1575095</v>
      </c>
      <c r="AS94" s="958">
        <v>0</v>
      </c>
      <c r="AT94" s="958">
        <v>0</v>
      </c>
      <c r="AU94" s="958">
        <v>170333101</v>
      </c>
      <c r="AV94" s="958">
        <v>170240957</v>
      </c>
      <c r="AW94" s="958">
        <v>1575095</v>
      </c>
      <c r="AX94" s="958">
        <v>1370606</v>
      </c>
      <c r="AY94" s="1027">
        <f t="shared" si="109"/>
        <v>1.6329700748208837</v>
      </c>
      <c r="AZ94" s="1071">
        <v>720000000</v>
      </c>
      <c r="BA94" s="1000">
        <f t="shared" si="120"/>
        <v>716672848</v>
      </c>
      <c r="BB94" s="973">
        <f t="shared" si="115"/>
        <v>0.99537895555555556</v>
      </c>
      <c r="BC94" s="1029">
        <f t="shared" si="121"/>
        <v>715766965</v>
      </c>
      <c r="BD94" s="973">
        <f t="shared" si="122"/>
        <v>0.99412078472222221</v>
      </c>
      <c r="BE94" s="1030"/>
      <c r="BF94" s="969"/>
      <c r="BG94" s="953" t="s">
        <v>767</v>
      </c>
      <c r="BH94" s="1370"/>
      <c r="BI94" s="908" t="s">
        <v>2103</v>
      </c>
    </row>
    <row r="95" spans="1:61" s="908" customFormat="1" ht="47.4" customHeight="1">
      <c r="A95" s="1103" t="s">
        <v>1881</v>
      </c>
      <c r="B95" s="1090" t="s">
        <v>2314</v>
      </c>
      <c r="C95" s="980" t="s">
        <v>2108</v>
      </c>
      <c r="D95" s="1033">
        <v>0</v>
      </c>
      <c r="E95" s="1033">
        <v>1</v>
      </c>
      <c r="F95" s="1033">
        <v>0</v>
      </c>
      <c r="G95" s="1033">
        <v>1</v>
      </c>
      <c r="H95" s="1033">
        <v>0</v>
      </c>
      <c r="I95" s="949">
        <v>1</v>
      </c>
      <c r="J95" s="949">
        <v>0</v>
      </c>
      <c r="K95" s="949">
        <v>1</v>
      </c>
      <c r="L95" s="949"/>
      <c r="M95" s="949"/>
      <c r="N95" s="949"/>
      <c r="O95" s="951">
        <f t="shared" si="144"/>
        <v>0</v>
      </c>
      <c r="P95" s="973">
        <f t="shared" si="144"/>
        <v>1</v>
      </c>
      <c r="Q95" s="951">
        <f t="shared" si="144"/>
        <v>0</v>
      </c>
      <c r="R95" s="951">
        <f t="shared" si="145"/>
        <v>1</v>
      </c>
      <c r="S95" s="952" t="s">
        <v>2315</v>
      </c>
      <c r="T95" s="974">
        <v>45107</v>
      </c>
      <c r="U95" s="985" t="s">
        <v>2115</v>
      </c>
      <c r="V95" s="985"/>
      <c r="W95" s="952" t="s">
        <v>2116</v>
      </c>
      <c r="X95" s="976" t="s">
        <v>2313</v>
      </c>
      <c r="Y95" s="956">
        <f t="shared" si="146"/>
        <v>2</v>
      </c>
      <c r="Z95" s="956">
        <f t="shared" si="147"/>
        <v>2</v>
      </c>
      <c r="AA95" s="957">
        <f t="shared" si="148"/>
        <v>1</v>
      </c>
      <c r="AB95" s="996">
        <v>0.3</v>
      </c>
      <c r="AC95" s="996">
        <v>0</v>
      </c>
      <c r="AD95" s="996">
        <v>0.3</v>
      </c>
      <c r="AE95" s="996">
        <v>0</v>
      </c>
      <c r="AF95" s="996">
        <v>0.5</v>
      </c>
      <c r="AG95" s="1106">
        <v>200000000</v>
      </c>
      <c r="AH95" s="958">
        <v>0</v>
      </c>
      <c r="AI95" s="1106">
        <v>216893921</v>
      </c>
      <c r="AJ95" s="1106">
        <v>0</v>
      </c>
      <c r="AK95" s="1106">
        <v>200000000</v>
      </c>
      <c r="AL95" s="1025">
        <f t="shared" si="117"/>
        <v>1</v>
      </c>
      <c r="AM95" s="958">
        <v>0</v>
      </c>
      <c r="AN95" s="1106">
        <v>210960820</v>
      </c>
      <c r="AO95" s="1106"/>
      <c r="AP95" s="1106">
        <v>192830000</v>
      </c>
      <c r="AQ95" s="1026">
        <f t="shared" si="118"/>
        <v>0.96414999999999995</v>
      </c>
      <c r="AR95" s="958">
        <f t="shared" si="149"/>
        <v>0</v>
      </c>
      <c r="AS95" s="958">
        <v>0</v>
      </c>
      <c r="AT95" s="958">
        <v>0</v>
      </c>
      <c r="AU95" s="958">
        <v>5933101</v>
      </c>
      <c r="AV95" s="958">
        <v>5840957</v>
      </c>
      <c r="AW95" s="958"/>
      <c r="AX95" s="958"/>
      <c r="AY95" s="1027" t="e">
        <f t="shared" si="109"/>
        <v>#DIV/0!</v>
      </c>
      <c r="AZ95" s="1122">
        <v>420000000</v>
      </c>
      <c r="BA95" s="1000">
        <f t="shared" si="120"/>
        <v>416893921</v>
      </c>
      <c r="BB95" s="973">
        <f t="shared" si="115"/>
        <v>0.99260457380952383</v>
      </c>
      <c r="BC95" s="1029">
        <f t="shared" si="121"/>
        <v>409631777</v>
      </c>
      <c r="BD95" s="973">
        <f t="shared" si="122"/>
        <v>0.97531375476190474</v>
      </c>
      <c r="BE95" s="1030"/>
      <c r="BF95" s="969"/>
      <c r="BG95" s="953" t="s">
        <v>767</v>
      </c>
      <c r="BH95" s="1370"/>
      <c r="BI95" s="908" t="s">
        <v>2103</v>
      </c>
    </row>
    <row r="96" spans="1:61" s="908" customFormat="1" ht="75" hidden="1" customHeight="1">
      <c r="A96" s="1103" t="s">
        <v>2316</v>
      </c>
      <c r="B96" s="1090" t="s">
        <v>2317</v>
      </c>
      <c r="C96" s="980" t="s">
        <v>2108</v>
      </c>
      <c r="D96" s="1091">
        <v>0</v>
      </c>
      <c r="E96" s="1091">
        <v>1</v>
      </c>
      <c r="F96" s="1091">
        <v>1</v>
      </c>
      <c r="G96" s="1091">
        <v>0</v>
      </c>
      <c r="H96" s="1091">
        <v>0</v>
      </c>
      <c r="I96" s="949">
        <v>1</v>
      </c>
      <c r="J96" s="949">
        <v>1</v>
      </c>
      <c r="K96" s="949">
        <v>0</v>
      </c>
      <c r="L96" s="949"/>
      <c r="M96" s="949"/>
      <c r="N96" s="949"/>
      <c r="O96" s="951">
        <f t="shared" si="144"/>
        <v>0</v>
      </c>
      <c r="P96" s="973">
        <f t="shared" si="144"/>
        <v>1</v>
      </c>
      <c r="Q96" s="973">
        <f t="shared" si="144"/>
        <v>1</v>
      </c>
      <c r="R96" s="951">
        <f t="shared" si="145"/>
        <v>0</v>
      </c>
      <c r="S96" s="953"/>
      <c r="T96" s="953"/>
      <c r="U96" s="985"/>
      <c r="V96" s="985"/>
      <c r="W96" s="952"/>
      <c r="X96" s="975"/>
      <c r="Y96" s="956">
        <f t="shared" si="146"/>
        <v>2</v>
      </c>
      <c r="Z96" s="956">
        <f t="shared" si="147"/>
        <v>2</v>
      </c>
      <c r="AA96" s="957">
        <f t="shared" si="148"/>
        <v>1</v>
      </c>
      <c r="AB96" s="996">
        <v>0.2</v>
      </c>
      <c r="AC96" s="996">
        <v>0</v>
      </c>
      <c r="AD96" s="996">
        <v>0.2</v>
      </c>
      <c r="AE96" s="1121">
        <v>0.45</v>
      </c>
      <c r="AF96" s="1121">
        <v>0</v>
      </c>
      <c r="AG96" s="1106">
        <v>0</v>
      </c>
      <c r="AH96" s="958">
        <v>0</v>
      </c>
      <c r="AI96" s="1106">
        <v>147670441</v>
      </c>
      <c r="AJ96" s="1106">
        <v>14935395</v>
      </c>
      <c r="AK96" s="1106"/>
      <c r="AL96" s="1025" t="e">
        <f t="shared" si="117"/>
        <v>#DIV/0!</v>
      </c>
      <c r="AM96" s="958">
        <v>0</v>
      </c>
      <c r="AN96" s="1106">
        <v>8149070</v>
      </c>
      <c r="AO96" s="1106">
        <v>12546021</v>
      </c>
      <c r="AP96" s="1106"/>
      <c r="AQ96" s="1026" t="e">
        <f t="shared" si="118"/>
        <v>#DIV/0!</v>
      </c>
      <c r="AR96" s="958">
        <f t="shared" si="149"/>
        <v>2389374</v>
      </c>
      <c r="AS96" s="958">
        <v>0</v>
      </c>
      <c r="AT96" s="958">
        <v>0</v>
      </c>
      <c r="AU96" s="958">
        <v>139521371</v>
      </c>
      <c r="AV96" s="958">
        <v>139452263</v>
      </c>
      <c r="AW96" s="958">
        <v>2389374</v>
      </c>
      <c r="AX96" s="958">
        <v>1201477</v>
      </c>
      <c r="AY96" s="1027">
        <f t="shared" si="109"/>
        <v>0.57362556050245794</v>
      </c>
      <c r="AZ96" s="1071">
        <v>165000000</v>
      </c>
      <c r="BA96" s="1000">
        <f t="shared" si="120"/>
        <v>162605836</v>
      </c>
      <c r="BB96" s="973">
        <f t="shared" si="115"/>
        <v>0.98548991515151518</v>
      </c>
      <c r="BC96" s="1029">
        <f t="shared" si="121"/>
        <v>161348831</v>
      </c>
      <c r="BD96" s="973">
        <f t="shared" si="122"/>
        <v>0.97787170303030302</v>
      </c>
      <c r="BE96" s="1030"/>
      <c r="BF96" s="969"/>
      <c r="BG96" s="953" t="s">
        <v>767</v>
      </c>
      <c r="BH96" s="1370"/>
      <c r="BI96" s="908" t="s">
        <v>2103</v>
      </c>
    </row>
    <row r="97" spans="1:61" s="908" customFormat="1" ht="47.4" customHeight="1">
      <c r="A97" s="936" t="s">
        <v>2318</v>
      </c>
      <c r="B97" s="937"/>
      <c r="C97" s="937"/>
      <c r="D97" s="938"/>
      <c r="E97" s="938"/>
      <c r="F97" s="938"/>
      <c r="G97" s="938"/>
      <c r="H97" s="938"/>
      <c r="I97" s="938"/>
      <c r="J97" s="938"/>
      <c r="K97" s="938"/>
      <c r="L97" s="938"/>
      <c r="M97" s="938"/>
      <c r="N97" s="938"/>
      <c r="O97" s="939">
        <f>+O98*AC98</f>
        <v>1</v>
      </c>
      <c r="P97" s="939">
        <f t="shared" ref="P97:R97" si="150">+P98*AD98</f>
        <v>1</v>
      </c>
      <c r="Q97" s="939">
        <f t="shared" si="150"/>
        <v>1</v>
      </c>
      <c r="R97" s="939">
        <f t="shared" si="150"/>
        <v>1</v>
      </c>
      <c r="S97" s="937"/>
      <c r="T97" s="937"/>
      <c r="U97" s="937"/>
      <c r="V97" s="937"/>
      <c r="W97" s="937"/>
      <c r="X97" s="937"/>
      <c r="Y97" s="940"/>
      <c r="Z97" s="940"/>
      <c r="AA97" s="939">
        <f>+SUMPRODUCT(AA98:AA98,AB98:AB98)</f>
        <v>1</v>
      </c>
      <c r="AB97" s="939">
        <v>0.1</v>
      </c>
      <c r="AC97" s="939">
        <v>0.3</v>
      </c>
      <c r="AD97" s="939">
        <v>0.1</v>
      </c>
      <c r="AE97" s="939">
        <v>0.1</v>
      </c>
      <c r="AF97" s="939">
        <v>0.1</v>
      </c>
      <c r="AG97" s="937">
        <f>SUM(AG98:AG98)</f>
        <v>100000000</v>
      </c>
      <c r="AH97" s="937">
        <f>SUM(AH98:AH98)</f>
        <v>88650000</v>
      </c>
      <c r="AI97" s="937">
        <f>SUM(AI98:AI98)</f>
        <v>91165496</v>
      </c>
      <c r="AJ97" s="937">
        <f>SUM(AJ98:AJ98)</f>
        <v>99948316</v>
      </c>
      <c r="AK97" s="937">
        <f>SUM(AK98:AK98)</f>
        <v>99980362</v>
      </c>
      <c r="AL97" s="943">
        <f t="shared" si="117"/>
        <v>0.99980362</v>
      </c>
      <c r="AM97" s="937">
        <f>SUM(AM98:AM98)</f>
        <v>70700000</v>
      </c>
      <c r="AN97" s="937">
        <f>SUM(AN98:AN98)</f>
        <v>74151059</v>
      </c>
      <c r="AO97" s="937">
        <f>SUM(AO98:AO98)</f>
        <v>98385673</v>
      </c>
      <c r="AP97" s="937">
        <f>SUM(AP98:AP98)</f>
        <v>93702618</v>
      </c>
      <c r="AQ97" s="944">
        <f t="shared" si="118"/>
        <v>0.93702618000000004</v>
      </c>
      <c r="AR97" s="945">
        <f t="shared" ref="AR97:AX97" si="151">SUM(AR98:AR98)</f>
        <v>1562643</v>
      </c>
      <c r="AS97" s="937">
        <f t="shared" si="151"/>
        <v>17950000</v>
      </c>
      <c r="AT97" s="937">
        <f t="shared" si="151"/>
        <v>17950000</v>
      </c>
      <c r="AU97" s="937">
        <f t="shared" si="151"/>
        <v>17014437</v>
      </c>
      <c r="AV97" s="937">
        <f t="shared" si="151"/>
        <v>16090554</v>
      </c>
      <c r="AW97" s="937">
        <f t="shared" si="151"/>
        <v>1562643</v>
      </c>
      <c r="AX97" s="937">
        <f t="shared" si="151"/>
        <v>1371212</v>
      </c>
      <c r="AY97" s="946">
        <f t="shared" si="109"/>
        <v>0</v>
      </c>
      <c r="AZ97" s="937">
        <f>SUM(AZ98:AZ98)</f>
        <v>400000000</v>
      </c>
      <c r="BA97" s="937">
        <f t="shared" si="120"/>
        <v>379744174</v>
      </c>
      <c r="BB97" s="939">
        <f t="shared" si="115"/>
        <v>0.949360435</v>
      </c>
      <c r="BC97" s="1005">
        <f t="shared" si="121"/>
        <v>372351116</v>
      </c>
      <c r="BD97" s="939">
        <f t="shared" si="122"/>
        <v>0.93087779000000004</v>
      </c>
      <c r="BE97" s="945"/>
      <c r="BF97" s="945"/>
      <c r="BG97" s="945"/>
      <c r="BH97" s="945"/>
      <c r="BI97" s="908" t="s">
        <v>2103</v>
      </c>
    </row>
    <row r="98" spans="1:61" s="908" customFormat="1" ht="47.4" customHeight="1">
      <c r="A98" s="1064" t="s">
        <v>2319</v>
      </c>
      <c r="B98" s="1073" t="s">
        <v>2320</v>
      </c>
      <c r="C98" s="1073"/>
      <c r="D98" s="1046">
        <v>1</v>
      </c>
      <c r="E98" s="1046">
        <v>1</v>
      </c>
      <c r="F98" s="1046">
        <v>1</v>
      </c>
      <c r="G98" s="1046">
        <v>1</v>
      </c>
      <c r="H98" s="949">
        <v>1</v>
      </c>
      <c r="I98" s="949">
        <v>1</v>
      </c>
      <c r="J98" s="949">
        <v>0</v>
      </c>
      <c r="K98" s="949">
        <v>1</v>
      </c>
      <c r="L98" s="949"/>
      <c r="M98" s="949"/>
      <c r="N98" s="949">
        <v>1</v>
      </c>
      <c r="O98" s="951">
        <f>+IFERROR(IF((H98+L98)/D98&gt;=100%,100%,(H98+L98)/D98),0)</f>
        <v>1</v>
      </c>
      <c r="P98" s="973">
        <f>+IFERROR(IF((I98+M98)/E98&gt;=100%,100%,(I98+M98)/E98),0)</f>
        <v>1</v>
      </c>
      <c r="Q98" s="973">
        <f>+IFERROR(IF((J98+N98)/F98&gt;=100%,100%,(J98+N98)/F98),0)</f>
        <v>1</v>
      </c>
      <c r="R98" s="951">
        <f>+IFERROR(IF(K98/G98&gt;=100%,100%,K98/G98),0)</f>
        <v>1</v>
      </c>
      <c r="S98" s="953" t="s">
        <v>2321</v>
      </c>
      <c r="T98" s="974">
        <v>45107</v>
      </c>
      <c r="U98" s="954"/>
      <c r="V98" s="912"/>
      <c r="W98" s="953"/>
      <c r="X98" s="953"/>
      <c r="Y98" s="956">
        <f t="shared" ref="Y98" si="152">SUM(D98:G98)</f>
        <v>4</v>
      </c>
      <c r="Z98" s="956">
        <f t="shared" ref="Z98" si="153">SUM(H98:N98)</f>
        <v>4</v>
      </c>
      <c r="AA98" s="957">
        <f t="shared" ref="AA98" si="154">IF(Z98/Y98&gt;=100%,100%,Z98/Y98)</f>
        <v>1</v>
      </c>
      <c r="AB98" s="1099">
        <v>1</v>
      </c>
      <c r="AC98" s="1099">
        <v>1</v>
      </c>
      <c r="AD98" s="951">
        <v>1</v>
      </c>
      <c r="AE98" s="951">
        <v>1</v>
      </c>
      <c r="AF98" s="951">
        <v>1</v>
      </c>
      <c r="AG98" s="1116">
        <v>100000000</v>
      </c>
      <c r="AH98" s="1116">
        <v>88650000</v>
      </c>
      <c r="AI98" s="1116">
        <v>91165496</v>
      </c>
      <c r="AJ98" s="1116">
        <v>99948316</v>
      </c>
      <c r="AK98" s="1116">
        <v>99980362</v>
      </c>
      <c r="AL98" s="959">
        <f t="shared" si="117"/>
        <v>0.99980362</v>
      </c>
      <c r="AM98" s="1116">
        <v>70700000</v>
      </c>
      <c r="AN98" s="1116">
        <v>74151059</v>
      </c>
      <c r="AO98" s="1116">
        <v>98385673</v>
      </c>
      <c r="AP98" s="1116">
        <v>93702618</v>
      </c>
      <c r="AQ98" s="971">
        <f t="shared" si="118"/>
        <v>0.93702618000000004</v>
      </c>
      <c r="AR98" s="958">
        <f t="shared" ref="AR98" si="155">+AJ98-AO98</f>
        <v>1562643</v>
      </c>
      <c r="AS98" s="1116">
        <v>17950000</v>
      </c>
      <c r="AT98" s="1116">
        <v>17950000</v>
      </c>
      <c r="AU98" s="1116">
        <v>17014437</v>
      </c>
      <c r="AV98" s="1116">
        <v>16090554</v>
      </c>
      <c r="AW98" s="1116">
        <v>1562643</v>
      </c>
      <c r="AX98" s="1116">
        <v>1371212</v>
      </c>
      <c r="AY98" s="999">
        <f t="shared" si="109"/>
        <v>0.76887491256800178</v>
      </c>
      <c r="AZ98" s="1084">
        <v>400000000</v>
      </c>
      <c r="BA98" s="1000">
        <f t="shared" si="120"/>
        <v>379744174</v>
      </c>
      <c r="BB98" s="973">
        <f t="shared" si="115"/>
        <v>0.949360435</v>
      </c>
      <c r="BC98" s="1029">
        <f t="shared" si="121"/>
        <v>372351116</v>
      </c>
      <c r="BD98" s="973">
        <f t="shared" si="122"/>
        <v>0.93087779000000004</v>
      </c>
      <c r="BE98" s="969"/>
      <c r="BF98" s="969"/>
      <c r="BG98" s="953" t="s">
        <v>1703</v>
      </c>
      <c r="BH98" s="1072" t="s">
        <v>2253</v>
      </c>
      <c r="BI98" s="908" t="s">
        <v>2103</v>
      </c>
    </row>
    <row r="99" spans="1:61" s="908" customFormat="1" ht="47.4" customHeight="1">
      <c r="A99" s="914" t="s">
        <v>2322</v>
      </c>
      <c r="B99" s="1123"/>
      <c r="C99" s="1123"/>
      <c r="D99" s="1124"/>
      <c r="E99" s="1124"/>
      <c r="F99" s="1124"/>
      <c r="G99" s="1124"/>
      <c r="H99" s="1124"/>
      <c r="I99" s="1124"/>
      <c r="J99" s="1124"/>
      <c r="K99" s="1124"/>
      <c r="L99" s="1124"/>
      <c r="M99" s="1124"/>
      <c r="N99" s="1124"/>
      <c r="O99" s="917">
        <f>+(O100*AC100)+(O117*AC117)+(O134*AC134)+(O140*AC140)</f>
        <v>1</v>
      </c>
      <c r="P99" s="917">
        <f t="shared" ref="P99:R99" si="156">+(P100*AD100)+(P117*AD117)+(P134*AD134)+(P140*AD140)</f>
        <v>1</v>
      </c>
      <c r="Q99" s="917">
        <f t="shared" si="156"/>
        <v>1</v>
      </c>
      <c r="R99" s="917">
        <f t="shared" si="156"/>
        <v>1</v>
      </c>
      <c r="S99" s="917"/>
      <c r="T99" s="917"/>
      <c r="U99" s="917"/>
      <c r="V99" s="917"/>
      <c r="W99" s="917"/>
      <c r="X99" s="917"/>
      <c r="Y99" s="917"/>
      <c r="Z99" s="917"/>
      <c r="AA99" s="917">
        <f>+(AA100*AB100)+(AA117*AB117)+(AA134*AB134)+(AA140*AB140)</f>
        <v>1</v>
      </c>
      <c r="AB99" s="920">
        <v>0.15</v>
      </c>
      <c r="AC99" s="920">
        <v>0.15</v>
      </c>
      <c r="AD99" s="920">
        <v>0.15</v>
      </c>
      <c r="AE99" s="920">
        <v>0.15</v>
      </c>
      <c r="AF99" s="920">
        <v>0.15</v>
      </c>
      <c r="AG99" s="921">
        <f>+AG100+AG117+AG134+AG140</f>
        <v>5250000000</v>
      </c>
      <c r="AH99" s="915">
        <f>+AH100+AH117+AH134+AH140</f>
        <v>1833038631</v>
      </c>
      <c r="AI99" s="921">
        <f>+AI100+AI117+AI134+AI140</f>
        <v>5358674824.6800003</v>
      </c>
      <c r="AJ99" s="921">
        <f>+AJ100+AJ117+AJ134+AJ140</f>
        <v>5997286808.1599998</v>
      </c>
      <c r="AK99" s="921">
        <f>+AK100+AK117+AK134+AK140</f>
        <v>5250000000</v>
      </c>
      <c r="AL99" s="922">
        <f t="shared" si="117"/>
        <v>1</v>
      </c>
      <c r="AM99" s="915">
        <f>+AM100+AM117+AM134+AM140</f>
        <v>932124108</v>
      </c>
      <c r="AN99" s="915">
        <f>+AN100+AN117+AN134+AN140</f>
        <v>4196895217</v>
      </c>
      <c r="AO99" s="915">
        <f>+AO100+AO117+AO134+AO140</f>
        <v>3980728610</v>
      </c>
      <c r="AP99" s="921">
        <f>+AP100+AP117+AP134+AP140</f>
        <v>3957112334.6599998</v>
      </c>
      <c r="AQ99" s="923">
        <f t="shared" si="118"/>
        <v>0.7537356827923809</v>
      </c>
      <c r="AR99" s="915">
        <f t="shared" ref="AR99:AX99" si="157">+AR100+AR117+AR134+AR140</f>
        <v>2016558198.1599998</v>
      </c>
      <c r="AS99" s="915">
        <f t="shared" si="157"/>
        <v>900914523</v>
      </c>
      <c r="AT99" s="915">
        <f t="shared" si="157"/>
        <v>751671583</v>
      </c>
      <c r="AU99" s="915">
        <f t="shared" si="157"/>
        <v>1161779607.6800001</v>
      </c>
      <c r="AV99" s="915">
        <f t="shared" si="157"/>
        <v>1145236415.2</v>
      </c>
      <c r="AW99" s="915">
        <f t="shared" si="157"/>
        <v>2016558198.1599998</v>
      </c>
      <c r="AX99" s="915">
        <f t="shared" si="157"/>
        <v>2004235212.1599998</v>
      </c>
      <c r="AY99" s="1125">
        <f t="shared" si="109"/>
        <v>6.7997640794654807E-4</v>
      </c>
      <c r="AZ99" s="915">
        <f t="shared" ref="AZ99" si="158">+AZ100+AZ117+AZ134+AZ140</f>
        <v>21511770856</v>
      </c>
      <c r="BA99" s="915">
        <f t="shared" si="120"/>
        <v>18439000263.84</v>
      </c>
      <c r="BB99" s="920">
        <f t="shared" si="115"/>
        <v>0.85715864060057367</v>
      </c>
      <c r="BC99" s="1059">
        <f t="shared" si="121"/>
        <v>16968003480.02</v>
      </c>
      <c r="BD99" s="920">
        <f t="shared" si="122"/>
        <v>0.78877762289325126</v>
      </c>
      <c r="BE99" s="915"/>
      <c r="BF99" s="915"/>
      <c r="BG99" s="915"/>
      <c r="BH99" s="915"/>
      <c r="BI99" s="908" t="s">
        <v>2103</v>
      </c>
    </row>
    <row r="100" spans="1:61" s="935" customFormat="1" ht="47.4" customHeight="1">
      <c r="A100" s="925" t="s">
        <v>2323</v>
      </c>
      <c r="B100" s="926"/>
      <c r="C100" s="926"/>
      <c r="D100" s="927"/>
      <c r="E100" s="927"/>
      <c r="F100" s="927"/>
      <c r="G100" s="927"/>
      <c r="H100" s="927"/>
      <c r="I100" s="927"/>
      <c r="J100" s="927"/>
      <c r="K100" s="927"/>
      <c r="L100" s="927"/>
      <c r="M100" s="927"/>
      <c r="N100" s="927"/>
      <c r="O100" s="930">
        <f>+(O101*AC101)+(O105*AC105)+(O111*AC111)+(O114*AC114)</f>
        <v>1</v>
      </c>
      <c r="P100" s="930">
        <f t="shared" ref="P100:R100" si="159">+(P101*AD101)+(P105*AD105)+(P111*AD111)+(P114*AD114)</f>
        <v>1</v>
      </c>
      <c r="Q100" s="930">
        <f t="shared" si="159"/>
        <v>1</v>
      </c>
      <c r="R100" s="930">
        <f t="shared" si="159"/>
        <v>1</v>
      </c>
      <c r="S100" s="926"/>
      <c r="T100" s="926"/>
      <c r="U100" s="926"/>
      <c r="V100" s="926"/>
      <c r="W100" s="926"/>
      <c r="X100" s="926"/>
      <c r="Y100" s="929"/>
      <c r="Z100" s="929"/>
      <c r="AA100" s="930">
        <f>+(AA101*AB101)+(AA105*AB105)+(AA111*AB111)+(AA114*AB114)</f>
        <v>1</v>
      </c>
      <c r="AB100" s="928">
        <v>0.35</v>
      </c>
      <c r="AC100" s="928">
        <v>0.35</v>
      </c>
      <c r="AD100" s="928">
        <v>0.35</v>
      </c>
      <c r="AE100" s="928">
        <v>0.35</v>
      </c>
      <c r="AF100" s="928">
        <v>0.35</v>
      </c>
      <c r="AG100" s="926">
        <f>+AG101+AG105+AG111+AG114</f>
        <v>1670000000</v>
      </c>
      <c r="AH100" s="926">
        <f>+AH101+AH105+AH111+AH114</f>
        <v>833538631</v>
      </c>
      <c r="AI100" s="926">
        <f>+AI101+AI105+AI111+AI114</f>
        <v>2288896506</v>
      </c>
      <c r="AJ100" s="926">
        <f>+AJ101+AJ105+AJ111+AJ114</f>
        <v>2591775980</v>
      </c>
      <c r="AK100" s="926">
        <f>+AK101+AK105+AK111+AK114</f>
        <v>1670000000</v>
      </c>
      <c r="AL100" s="931">
        <f t="shared" si="117"/>
        <v>1</v>
      </c>
      <c r="AM100" s="926">
        <f>+AM101+AM105+AM111+AM114</f>
        <v>774874108</v>
      </c>
      <c r="AN100" s="926">
        <f>+AN101+AN105+AN111+AN114</f>
        <v>1918434383</v>
      </c>
      <c r="AO100" s="926">
        <f>+AO101+AO105+AO111+AO114</f>
        <v>1840500137</v>
      </c>
      <c r="AP100" s="926">
        <f>+AP101+AP105+AP111+AP114</f>
        <v>1498392785.9100001</v>
      </c>
      <c r="AQ100" s="933">
        <f t="shared" si="118"/>
        <v>0.89724118916766471</v>
      </c>
      <c r="AR100" s="926">
        <f t="shared" ref="AR100:AX100" si="160">+AR101+AR105+AR111+AR114</f>
        <v>751275843</v>
      </c>
      <c r="AS100" s="926">
        <f t="shared" si="160"/>
        <v>58664523</v>
      </c>
      <c r="AT100" s="926">
        <f t="shared" si="160"/>
        <v>55671583</v>
      </c>
      <c r="AU100" s="926">
        <f t="shared" si="160"/>
        <v>370462123</v>
      </c>
      <c r="AV100" s="926">
        <f t="shared" si="160"/>
        <v>362960328</v>
      </c>
      <c r="AW100" s="926">
        <f t="shared" si="160"/>
        <v>751275843</v>
      </c>
      <c r="AX100" s="926">
        <f t="shared" si="160"/>
        <v>748854914</v>
      </c>
      <c r="AY100" s="934">
        <f t="shared" si="109"/>
        <v>1.8251778128849008E-3</v>
      </c>
      <c r="AZ100" s="926">
        <f t="shared" ref="AZ100" si="161">+AZ101+AZ105+AZ111+AZ114</f>
        <v>9651770856</v>
      </c>
      <c r="BA100" s="926">
        <f t="shared" si="120"/>
        <v>7384211117</v>
      </c>
      <c r="BB100" s="928">
        <f t="shared" si="115"/>
        <v>0.76506282910867318</v>
      </c>
      <c r="BC100" s="1010">
        <f t="shared" si="121"/>
        <v>7199688238.9099998</v>
      </c>
      <c r="BD100" s="928">
        <f t="shared" si="122"/>
        <v>0.74594479565729965</v>
      </c>
      <c r="BE100" s="926"/>
      <c r="BF100" s="926" t="s">
        <v>1701</v>
      </c>
      <c r="BG100" s="926"/>
      <c r="BH100" s="926"/>
      <c r="BI100" s="935" t="s">
        <v>2103</v>
      </c>
    </row>
    <row r="101" spans="1:61" s="908" customFormat="1" ht="47.4" customHeight="1">
      <c r="A101" s="936" t="s">
        <v>2324</v>
      </c>
      <c r="B101" s="937"/>
      <c r="C101" s="937"/>
      <c r="D101" s="938"/>
      <c r="E101" s="938"/>
      <c r="F101" s="938"/>
      <c r="G101" s="938"/>
      <c r="H101" s="938"/>
      <c r="I101" s="938"/>
      <c r="J101" s="938"/>
      <c r="K101" s="938"/>
      <c r="L101" s="938"/>
      <c r="M101" s="938"/>
      <c r="N101" s="938"/>
      <c r="O101" s="939">
        <f>+SUMPRODUCT(O102:O104,AC102:AC104)</f>
        <v>1</v>
      </c>
      <c r="P101" s="939">
        <f t="shared" ref="P101:R101" si="162">+SUMPRODUCT(P102:P104,AD102:AD104)</f>
        <v>1</v>
      </c>
      <c r="Q101" s="939">
        <f t="shared" si="162"/>
        <v>1</v>
      </c>
      <c r="R101" s="939">
        <f t="shared" si="162"/>
        <v>1</v>
      </c>
      <c r="S101" s="937"/>
      <c r="T101" s="937"/>
      <c r="U101" s="937"/>
      <c r="V101" s="937"/>
      <c r="W101" s="937"/>
      <c r="X101" s="937"/>
      <c r="Y101" s="940"/>
      <c r="Z101" s="940"/>
      <c r="AA101" s="1017">
        <f>+SUMPRODUCT(AA102:AA104,AB102:AB104)</f>
        <v>1</v>
      </c>
      <c r="AB101" s="939">
        <v>0.25</v>
      </c>
      <c r="AC101" s="939">
        <v>0.25</v>
      </c>
      <c r="AD101" s="939">
        <v>0.25</v>
      </c>
      <c r="AE101" s="939">
        <v>0.25</v>
      </c>
      <c r="AF101" s="939">
        <v>0.33</v>
      </c>
      <c r="AG101" s="937">
        <f>SUM(AG102:AG104)</f>
        <v>180000000</v>
      </c>
      <c r="AH101" s="937">
        <f>SUM(AH102:AH104)</f>
        <v>47000000</v>
      </c>
      <c r="AI101" s="937">
        <f>SUM(AI102:AI104)</f>
        <v>294634047</v>
      </c>
      <c r="AJ101" s="937">
        <f>SUM(AJ102:AJ104)</f>
        <v>345847852</v>
      </c>
      <c r="AK101" s="937">
        <f>SUM(AK102:AK104)</f>
        <v>180000000</v>
      </c>
      <c r="AL101" s="943">
        <f t="shared" si="117"/>
        <v>1</v>
      </c>
      <c r="AM101" s="937">
        <f>SUM(AM102:AM104)</f>
        <v>27000000</v>
      </c>
      <c r="AN101" s="937">
        <f>SUM(AN102:AN104)</f>
        <v>227384801</v>
      </c>
      <c r="AO101" s="937">
        <f>SUM(AO102:AO104)</f>
        <v>273693551</v>
      </c>
      <c r="AP101" s="937">
        <f>SUM(AP102:AP104)</f>
        <v>178400000</v>
      </c>
      <c r="AQ101" s="944">
        <f t="shared" si="118"/>
        <v>0.99111111111111116</v>
      </c>
      <c r="AR101" s="945">
        <f t="shared" ref="AR101:AX101" si="163">SUM(AR102:AR104)</f>
        <v>72154301</v>
      </c>
      <c r="AS101" s="937">
        <f t="shared" si="163"/>
        <v>20000000</v>
      </c>
      <c r="AT101" s="937">
        <f t="shared" si="163"/>
        <v>20000000</v>
      </c>
      <c r="AU101" s="937">
        <f t="shared" si="163"/>
        <v>67249246</v>
      </c>
      <c r="AV101" s="937">
        <f t="shared" si="163"/>
        <v>60512247</v>
      </c>
      <c r="AW101" s="937">
        <f t="shared" si="163"/>
        <v>72154301</v>
      </c>
      <c r="AX101" s="937">
        <f t="shared" si="163"/>
        <v>71738371</v>
      </c>
      <c r="AY101" s="946">
        <f t="shared" si="109"/>
        <v>27.777071974683807</v>
      </c>
      <c r="AZ101" s="937">
        <f t="shared" ref="AZ101" si="164">SUM(AZ102:AZ104)</f>
        <v>1070000000</v>
      </c>
      <c r="BA101" s="937">
        <f t="shared" si="120"/>
        <v>867481899</v>
      </c>
      <c r="BB101" s="1017">
        <f t="shared" si="115"/>
        <v>0.81073074672897194</v>
      </c>
      <c r="BC101" s="1018">
        <f t="shared" si="121"/>
        <v>858728970</v>
      </c>
      <c r="BD101" s="1017">
        <f t="shared" si="122"/>
        <v>0.80255043925233649</v>
      </c>
      <c r="BE101" s="945"/>
      <c r="BF101" s="945"/>
      <c r="BG101" s="945"/>
      <c r="BH101" s="945"/>
    </row>
    <row r="102" spans="1:61" s="908" customFormat="1" ht="87" hidden="1" customHeight="1">
      <c r="A102" s="1126" t="s">
        <v>1895</v>
      </c>
      <c r="B102" s="1090" t="s">
        <v>2325</v>
      </c>
      <c r="C102" s="980" t="s">
        <v>2108</v>
      </c>
      <c r="D102" s="1127">
        <v>5</v>
      </c>
      <c r="E102" s="1127">
        <v>17</v>
      </c>
      <c r="F102" s="1127">
        <v>0</v>
      </c>
      <c r="G102" s="1127">
        <v>0</v>
      </c>
      <c r="H102" s="949">
        <v>0</v>
      </c>
      <c r="I102" s="949">
        <v>0</v>
      </c>
      <c r="J102" s="949"/>
      <c r="K102" s="949"/>
      <c r="L102" s="949">
        <v>5</v>
      </c>
      <c r="M102" s="949">
        <v>17</v>
      </c>
      <c r="N102" s="949"/>
      <c r="O102" s="951">
        <f t="shared" ref="O102:Q104" si="165">+IFERROR(IF((H102+L102)/D102&gt;=100%,100%,(H102+L102)/D102),0)</f>
        <v>1</v>
      </c>
      <c r="P102" s="973">
        <f t="shared" si="165"/>
        <v>1</v>
      </c>
      <c r="Q102" s="951">
        <f t="shared" si="165"/>
        <v>0</v>
      </c>
      <c r="R102" s="951">
        <f t="shared" ref="R102:R104" si="166">+IFERROR(IF(K102/G102&gt;=100%,100%,K102/G102),0)</f>
        <v>0</v>
      </c>
      <c r="S102" s="953"/>
      <c r="T102" s="953"/>
      <c r="U102" s="954"/>
      <c r="V102" s="912"/>
      <c r="W102" s="953"/>
      <c r="X102" s="953"/>
      <c r="Y102" s="1035">
        <f t="shared" ref="Y102:Y104" si="167">SUM(D102:G102)</f>
        <v>22</v>
      </c>
      <c r="Z102" s="956">
        <f t="shared" ref="Z102:Z104" si="168">SUM(H102:N102)</f>
        <v>22</v>
      </c>
      <c r="AA102" s="1021">
        <f>IF(Z102/Y102&gt;=100%,100%,Z102/Y102)</f>
        <v>1</v>
      </c>
      <c r="AB102" s="1128">
        <v>0.25</v>
      </c>
      <c r="AC102" s="1128">
        <v>0.5</v>
      </c>
      <c r="AD102" s="1128">
        <v>0.25</v>
      </c>
      <c r="AE102" s="1128">
        <v>0</v>
      </c>
      <c r="AF102" s="951">
        <v>0</v>
      </c>
      <c r="AG102" s="1129">
        <v>0</v>
      </c>
      <c r="AH102" s="1129">
        <v>47000000</v>
      </c>
      <c r="AI102" s="1129">
        <v>147263496</v>
      </c>
      <c r="AJ102" s="1129">
        <v>0</v>
      </c>
      <c r="AK102" s="1129"/>
      <c r="AL102" s="1025" t="e">
        <f t="shared" si="117"/>
        <v>#DIV/0!</v>
      </c>
      <c r="AM102" s="1129">
        <v>27000000</v>
      </c>
      <c r="AN102" s="1129">
        <v>128772454</v>
      </c>
      <c r="AO102" s="1129"/>
      <c r="AP102" s="1129"/>
      <c r="AQ102" s="1026" t="e">
        <f t="shared" si="118"/>
        <v>#DIV/0!</v>
      </c>
      <c r="AR102" s="958">
        <f t="shared" ref="AR102:AR104" si="169">+AJ102-AO102</f>
        <v>0</v>
      </c>
      <c r="AS102" s="1129">
        <v>20000000</v>
      </c>
      <c r="AT102" s="1129">
        <v>20000000</v>
      </c>
      <c r="AU102" s="1129">
        <v>18491042</v>
      </c>
      <c r="AV102" s="1129">
        <v>16560891</v>
      </c>
      <c r="AW102" s="1129"/>
      <c r="AX102" s="1129"/>
      <c r="AY102" s="1027" t="e">
        <f t="shared" si="109"/>
        <v>#DIV/0!</v>
      </c>
      <c r="AZ102" s="1071">
        <v>290000000</v>
      </c>
      <c r="BA102" s="1000">
        <f t="shared" si="120"/>
        <v>194263496</v>
      </c>
      <c r="BB102" s="973">
        <f t="shared" si="115"/>
        <v>0.66987412413793102</v>
      </c>
      <c r="BC102" s="1029">
        <f t="shared" si="121"/>
        <v>192333345</v>
      </c>
      <c r="BD102" s="973">
        <f t="shared" si="122"/>
        <v>0.66321843103448275</v>
      </c>
      <c r="BE102" s="1030"/>
      <c r="BF102" s="969"/>
      <c r="BG102" s="953" t="s">
        <v>1109</v>
      </c>
      <c r="BH102" s="1379" t="s">
        <v>2326</v>
      </c>
    </row>
    <row r="103" spans="1:61" s="908" customFormat="1" ht="47.4" customHeight="1">
      <c r="A103" s="1126" t="s">
        <v>1896</v>
      </c>
      <c r="B103" s="1090" t="s">
        <v>2327</v>
      </c>
      <c r="C103" s="980" t="s">
        <v>2108</v>
      </c>
      <c r="D103" s="1033">
        <v>0</v>
      </c>
      <c r="E103" s="1033">
        <v>10</v>
      </c>
      <c r="F103" s="1033">
        <v>20</v>
      </c>
      <c r="G103" s="1033">
        <v>14</v>
      </c>
      <c r="H103" s="949">
        <v>0</v>
      </c>
      <c r="I103" s="949">
        <v>0</v>
      </c>
      <c r="J103" s="949">
        <v>20</v>
      </c>
      <c r="K103" s="949">
        <v>14</v>
      </c>
      <c r="L103" s="949"/>
      <c r="M103" s="949">
        <v>10</v>
      </c>
      <c r="N103" s="949"/>
      <c r="O103" s="951">
        <f t="shared" si="165"/>
        <v>0</v>
      </c>
      <c r="P103" s="973">
        <f t="shared" si="165"/>
        <v>1</v>
      </c>
      <c r="Q103" s="973">
        <f t="shared" si="165"/>
        <v>1</v>
      </c>
      <c r="R103" s="951">
        <f t="shared" si="166"/>
        <v>1</v>
      </c>
      <c r="S103" s="953" t="s">
        <v>2328</v>
      </c>
      <c r="T103" s="974">
        <v>45107</v>
      </c>
      <c r="U103" s="985" t="s">
        <v>2115</v>
      </c>
      <c r="V103" s="985"/>
      <c r="W103" s="952" t="s">
        <v>2116</v>
      </c>
      <c r="X103" s="976" t="s">
        <v>2329</v>
      </c>
      <c r="Y103" s="1035">
        <f t="shared" si="167"/>
        <v>44</v>
      </c>
      <c r="Z103" s="956">
        <f t="shared" si="168"/>
        <v>44</v>
      </c>
      <c r="AA103" s="1021">
        <f t="shared" ref="AA103:AA104" si="170">IF(Z103/Y103&gt;=100%,100%,Z103/Y103)</f>
        <v>1</v>
      </c>
      <c r="AB103" s="1128">
        <v>0.5</v>
      </c>
      <c r="AC103" s="1128">
        <v>0</v>
      </c>
      <c r="AD103" s="1128">
        <v>0.5</v>
      </c>
      <c r="AE103" s="1132">
        <v>0.63</v>
      </c>
      <c r="AF103" s="1132">
        <v>0.63</v>
      </c>
      <c r="AG103" s="1129">
        <v>80000000</v>
      </c>
      <c r="AH103" s="1129">
        <v>0</v>
      </c>
      <c r="AI103" s="1129">
        <v>98241360</v>
      </c>
      <c r="AJ103" s="1129">
        <v>196077931</v>
      </c>
      <c r="AK103" s="1129">
        <v>80000000</v>
      </c>
      <c r="AL103" s="1025">
        <f t="shared" si="117"/>
        <v>1</v>
      </c>
      <c r="AM103" s="1129">
        <v>0</v>
      </c>
      <c r="AN103" s="1129">
        <v>77916973</v>
      </c>
      <c r="AO103" s="1129">
        <v>167648610</v>
      </c>
      <c r="AP103" s="1129">
        <v>78400000</v>
      </c>
      <c r="AQ103" s="1026">
        <f t="shared" si="118"/>
        <v>0.98</v>
      </c>
      <c r="AR103" s="958">
        <f t="shared" si="169"/>
        <v>28429321</v>
      </c>
      <c r="AS103" s="1129">
        <v>0</v>
      </c>
      <c r="AT103" s="1129">
        <v>0</v>
      </c>
      <c r="AU103" s="1129">
        <v>20324387</v>
      </c>
      <c r="AV103" s="1129">
        <v>18172090</v>
      </c>
      <c r="AW103" s="1129">
        <v>28429321</v>
      </c>
      <c r="AX103" s="1129">
        <v>28284077</v>
      </c>
      <c r="AY103" s="1027">
        <f t="shared" si="109"/>
        <v>2.5233937525275403</v>
      </c>
      <c r="AZ103" s="1071">
        <v>380000000</v>
      </c>
      <c r="BA103" s="1000">
        <f t="shared" si="120"/>
        <v>374319291</v>
      </c>
      <c r="BB103" s="973">
        <f t="shared" si="115"/>
        <v>0.9850507657894737</v>
      </c>
      <c r="BC103" s="1029">
        <f t="shared" si="121"/>
        <v>370421750</v>
      </c>
      <c r="BD103" s="973">
        <f t="shared" si="122"/>
        <v>0.97479407894736847</v>
      </c>
      <c r="BE103" s="1030"/>
      <c r="BF103" s="969"/>
      <c r="BG103" s="953" t="s">
        <v>1109</v>
      </c>
      <c r="BH103" s="1370"/>
    </row>
    <row r="104" spans="1:61" s="908" customFormat="1" ht="47.4" customHeight="1">
      <c r="A104" s="1126" t="s">
        <v>1897</v>
      </c>
      <c r="B104" s="1090" t="s">
        <v>2330</v>
      </c>
      <c r="C104" s="980" t="s">
        <v>2108</v>
      </c>
      <c r="D104" s="1033">
        <v>1</v>
      </c>
      <c r="E104" s="1033">
        <v>1</v>
      </c>
      <c r="F104" s="1033">
        <v>1</v>
      </c>
      <c r="G104" s="1033">
        <v>1</v>
      </c>
      <c r="H104" s="949">
        <v>0</v>
      </c>
      <c r="I104" s="949">
        <v>1</v>
      </c>
      <c r="J104" s="949">
        <v>1</v>
      </c>
      <c r="K104" s="949">
        <v>1</v>
      </c>
      <c r="L104" s="949">
        <v>1</v>
      </c>
      <c r="M104" s="949"/>
      <c r="N104" s="949"/>
      <c r="O104" s="951">
        <f t="shared" si="165"/>
        <v>1</v>
      </c>
      <c r="P104" s="973">
        <f t="shared" si="165"/>
        <v>1</v>
      </c>
      <c r="Q104" s="973">
        <f t="shared" si="165"/>
        <v>1</v>
      </c>
      <c r="R104" s="951">
        <f t="shared" si="166"/>
        <v>1</v>
      </c>
      <c r="S104" s="953" t="s">
        <v>2331</v>
      </c>
      <c r="T104" s="974">
        <v>45107</v>
      </c>
      <c r="U104" s="985" t="s">
        <v>2115</v>
      </c>
      <c r="V104" s="985"/>
      <c r="W104" s="952" t="s">
        <v>2116</v>
      </c>
      <c r="X104" s="976" t="s">
        <v>2329</v>
      </c>
      <c r="Y104" s="1035">
        <f t="shared" si="167"/>
        <v>4</v>
      </c>
      <c r="Z104" s="956">
        <f t="shared" si="168"/>
        <v>4</v>
      </c>
      <c r="AA104" s="1021">
        <f t="shared" si="170"/>
        <v>1</v>
      </c>
      <c r="AB104" s="1128">
        <v>0.25</v>
      </c>
      <c r="AC104" s="1128">
        <v>0.5</v>
      </c>
      <c r="AD104" s="1128">
        <v>0.25</v>
      </c>
      <c r="AE104" s="1132">
        <v>0.37</v>
      </c>
      <c r="AF104" s="1132">
        <v>0.37</v>
      </c>
      <c r="AG104" s="1129">
        <v>100000000</v>
      </c>
      <c r="AH104" s="1129">
        <v>0</v>
      </c>
      <c r="AI104" s="1129">
        <v>49129191</v>
      </c>
      <c r="AJ104" s="1129">
        <v>149769921</v>
      </c>
      <c r="AK104" s="1129">
        <v>100000000</v>
      </c>
      <c r="AL104" s="1025">
        <f t="shared" si="117"/>
        <v>1</v>
      </c>
      <c r="AM104" s="1129">
        <v>0</v>
      </c>
      <c r="AN104" s="1129">
        <v>20695374</v>
      </c>
      <c r="AO104" s="1129">
        <v>106044941</v>
      </c>
      <c r="AP104" s="1129">
        <v>100000000</v>
      </c>
      <c r="AQ104" s="1026">
        <f t="shared" si="118"/>
        <v>1</v>
      </c>
      <c r="AR104" s="958">
        <f t="shared" si="169"/>
        <v>43724980</v>
      </c>
      <c r="AS104" s="1129">
        <v>0</v>
      </c>
      <c r="AT104" s="1129">
        <v>0</v>
      </c>
      <c r="AU104" s="1129">
        <v>28433817</v>
      </c>
      <c r="AV104" s="1129">
        <v>25779266</v>
      </c>
      <c r="AW104" s="1129">
        <v>43724980</v>
      </c>
      <c r="AX104" s="1129">
        <v>43454294</v>
      </c>
      <c r="AY104" s="1027">
        <f t="shared" si="109"/>
        <v>0</v>
      </c>
      <c r="AZ104" s="1071">
        <v>400000000</v>
      </c>
      <c r="BA104" s="1000">
        <f t="shared" si="120"/>
        <v>298899112</v>
      </c>
      <c r="BB104" s="973">
        <f t="shared" si="115"/>
        <v>0.74724778000000003</v>
      </c>
      <c r="BC104" s="1029">
        <f t="shared" si="121"/>
        <v>295973875</v>
      </c>
      <c r="BD104" s="973">
        <f t="shared" si="122"/>
        <v>0.73993468750000002</v>
      </c>
      <c r="BE104" s="1030"/>
      <c r="BF104" s="969"/>
      <c r="BG104" s="953" t="s">
        <v>1109</v>
      </c>
      <c r="BH104" s="1370"/>
    </row>
    <row r="105" spans="1:61" s="908" customFormat="1" ht="47.4" customHeight="1">
      <c r="A105" s="936" t="s">
        <v>2332</v>
      </c>
      <c r="B105" s="937"/>
      <c r="C105" s="937"/>
      <c r="D105" s="938"/>
      <c r="E105" s="938"/>
      <c r="F105" s="938"/>
      <c r="G105" s="938"/>
      <c r="H105" s="938"/>
      <c r="I105" s="938"/>
      <c r="J105" s="938"/>
      <c r="K105" s="938"/>
      <c r="L105" s="938"/>
      <c r="M105" s="938"/>
      <c r="N105" s="938"/>
      <c r="O105" s="939">
        <f>+SUMPRODUCT(O106:O110,AC106:AC110)</f>
        <v>1</v>
      </c>
      <c r="P105" s="939">
        <f t="shared" ref="P105:R105" si="171">+SUMPRODUCT(P106:P110,AD106:AD110)</f>
        <v>1</v>
      </c>
      <c r="Q105" s="939">
        <f t="shared" si="171"/>
        <v>1</v>
      </c>
      <c r="R105" s="939">
        <f t="shared" si="171"/>
        <v>1</v>
      </c>
      <c r="S105" s="937"/>
      <c r="T105" s="937"/>
      <c r="U105" s="937"/>
      <c r="V105" s="937"/>
      <c r="W105" s="937"/>
      <c r="X105" s="937"/>
      <c r="Y105" s="940"/>
      <c r="Z105" s="940"/>
      <c r="AA105" s="939">
        <f>+SUMPRODUCT(AA106:AA110,AB106:AB110)</f>
        <v>1</v>
      </c>
      <c r="AB105" s="939">
        <v>0.25</v>
      </c>
      <c r="AC105" s="939">
        <v>0.25</v>
      </c>
      <c r="AD105" s="939">
        <v>0.25</v>
      </c>
      <c r="AE105" s="939">
        <v>0.25</v>
      </c>
      <c r="AF105" s="939">
        <v>0.33</v>
      </c>
      <c r="AG105" s="937">
        <f>SUM(AG106:AG110)</f>
        <v>700000000</v>
      </c>
      <c r="AH105" s="937">
        <f>SUM(AH106:AH110)</f>
        <v>12000000</v>
      </c>
      <c r="AI105" s="937">
        <f>SUM(AI106:AI110)</f>
        <v>543221928</v>
      </c>
      <c r="AJ105" s="937">
        <f>SUM(AJ106:AJ110)</f>
        <v>717646801</v>
      </c>
      <c r="AK105" s="937">
        <f>SUM(AK106:AK110)</f>
        <v>700000000</v>
      </c>
      <c r="AL105" s="946">
        <f t="shared" si="117"/>
        <v>1</v>
      </c>
      <c r="AM105" s="937">
        <f>SUM(AM106:AM110)</f>
        <v>12000000</v>
      </c>
      <c r="AN105" s="937">
        <f t="shared" ref="AN105:AX105" si="172">SUM(AN106:AN110)</f>
        <v>530000956</v>
      </c>
      <c r="AO105" s="937">
        <f t="shared" si="172"/>
        <v>556151541</v>
      </c>
      <c r="AP105" s="937">
        <f>SUM(AP106:AP110)</f>
        <v>699746747</v>
      </c>
      <c r="AQ105" s="944">
        <f t="shared" si="118"/>
        <v>0.99963820999999997</v>
      </c>
      <c r="AR105" s="945">
        <f t="shared" si="172"/>
        <v>161495260</v>
      </c>
      <c r="AS105" s="937">
        <f t="shared" si="172"/>
        <v>0</v>
      </c>
      <c r="AT105" s="937">
        <f t="shared" si="172"/>
        <v>0</v>
      </c>
      <c r="AU105" s="937">
        <f t="shared" si="172"/>
        <v>13220972</v>
      </c>
      <c r="AV105" s="937">
        <f t="shared" si="172"/>
        <v>13022862</v>
      </c>
      <c r="AW105" s="937">
        <f t="shared" si="172"/>
        <v>161495260</v>
      </c>
      <c r="AX105" s="937">
        <f t="shared" si="172"/>
        <v>160732670</v>
      </c>
      <c r="AY105" s="1133">
        <f t="shared" si="109"/>
        <v>0.17513874401019572</v>
      </c>
      <c r="AZ105" s="937">
        <f t="shared" ref="AZ105" si="173">SUM(AZ106:AZ110)</f>
        <v>2760000000</v>
      </c>
      <c r="BA105" s="937">
        <f t="shared" si="120"/>
        <v>1972868729</v>
      </c>
      <c r="BB105" s="939">
        <f t="shared" si="115"/>
        <v>0.71480751050724634</v>
      </c>
      <c r="BC105" s="1005">
        <f t="shared" si="121"/>
        <v>1971654776</v>
      </c>
      <c r="BD105" s="939">
        <f t="shared" si="122"/>
        <v>0.71436767246376809</v>
      </c>
      <c r="BE105" s="945"/>
      <c r="BF105" s="945"/>
      <c r="BG105" s="945"/>
      <c r="BH105" s="945"/>
      <c r="BI105" s="908" t="s">
        <v>2103</v>
      </c>
    </row>
    <row r="106" spans="1:61" s="908" customFormat="1" ht="47.4" customHeight="1">
      <c r="A106" s="1134" t="s">
        <v>2333</v>
      </c>
      <c r="B106" s="1090" t="s">
        <v>2334</v>
      </c>
      <c r="C106" s="980" t="s">
        <v>2108</v>
      </c>
      <c r="D106" s="1046">
        <v>15</v>
      </c>
      <c r="E106" s="1046">
        <v>50</v>
      </c>
      <c r="F106" s="1046">
        <v>50</v>
      </c>
      <c r="G106" s="1046">
        <v>18</v>
      </c>
      <c r="H106" s="949">
        <v>0</v>
      </c>
      <c r="I106" s="949">
        <v>50</v>
      </c>
      <c r="J106" s="949">
        <v>50</v>
      </c>
      <c r="K106" s="949">
        <v>18</v>
      </c>
      <c r="L106" s="949">
        <v>15</v>
      </c>
      <c r="M106" s="949"/>
      <c r="N106" s="949"/>
      <c r="O106" s="973">
        <f t="shared" ref="O106:Q110" si="174">+IFERROR(IF((H106+L106)/D106&gt;=100%,100%,(H106+L106)/D106),0)</f>
        <v>1</v>
      </c>
      <c r="P106" s="973">
        <f t="shared" si="174"/>
        <v>1</v>
      </c>
      <c r="Q106" s="973">
        <f t="shared" si="174"/>
        <v>1</v>
      </c>
      <c r="R106" s="951">
        <f t="shared" ref="R106:R110" si="175">+IFERROR(IF(K106/G106&gt;=100%,100%,K106/G106),0)</f>
        <v>1</v>
      </c>
      <c r="S106" s="952" t="s">
        <v>2335</v>
      </c>
      <c r="T106" s="974">
        <v>45107</v>
      </c>
      <c r="U106" s="985" t="s">
        <v>2115</v>
      </c>
      <c r="V106" s="985"/>
      <c r="W106" s="952" t="s">
        <v>2116</v>
      </c>
      <c r="X106" s="976" t="s">
        <v>2329</v>
      </c>
      <c r="Y106" s="1035">
        <f t="shared" ref="Y106:Y110" si="176">SUM(D106:G106)</f>
        <v>133</v>
      </c>
      <c r="Z106" s="956">
        <f t="shared" ref="Z106:Z110" si="177">SUM(H106:N106)</f>
        <v>133</v>
      </c>
      <c r="AA106" s="1021">
        <f t="shared" ref="AA106:AA110" si="178">IF(Z106/Y106&gt;=100%,100%,Z106/Y106)</f>
        <v>1</v>
      </c>
      <c r="AB106" s="1136">
        <v>0.45</v>
      </c>
      <c r="AC106" s="1136">
        <v>0.5</v>
      </c>
      <c r="AD106" s="973">
        <v>0.47</v>
      </c>
      <c r="AE106" s="951">
        <v>0.47</v>
      </c>
      <c r="AF106" s="951">
        <v>0.5</v>
      </c>
      <c r="AG106" s="1137">
        <v>450000000</v>
      </c>
      <c r="AH106" s="1137">
        <v>12000000</v>
      </c>
      <c r="AI106" s="1137">
        <v>197570441</v>
      </c>
      <c r="AJ106" s="1137">
        <v>347997852</v>
      </c>
      <c r="AK106" s="1137">
        <v>450000000</v>
      </c>
      <c r="AL106" s="1025">
        <f t="shared" si="117"/>
        <v>1</v>
      </c>
      <c r="AM106" s="1137">
        <v>12000000</v>
      </c>
      <c r="AN106" s="1137">
        <v>192958473</v>
      </c>
      <c r="AO106" s="1137">
        <v>335939372</v>
      </c>
      <c r="AP106" s="1137">
        <v>449746747</v>
      </c>
      <c r="AQ106" s="1026">
        <f t="shared" si="118"/>
        <v>0.99943721555555554</v>
      </c>
      <c r="AR106" s="958">
        <f t="shared" ref="AR106:AR110" si="179">+AJ106-AO106</f>
        <v>12058480</v>
      </c>
      <c r="AS106" s="1129">
        <v>0</v>
      </c>
      <c r="AT106" s="1129">
        <v>0</v>
      </c>
      <c r="AU106" s="1129">
        <v>4611968</v>
      </c>
      <c r="AV106" s="1129">
        <v>4542860</v>
      </c>
      <c r="AW106" s="1129">
        <v>12058480</v>
      </c>
      <c r="AX106" s="1129">
        <v>11803546</v>
      </c>
      <c r="AY106" s="1027">
        <f t="shared" si="109"/>
        <v>3.603629479005646</v>
      </c>
      <c r="AZ106" s="1071">
        <v>1550000000</v>
      </c>
      <c r="BA106" s="1000">
        <f t="shared" si="120"/>
        <v>1007568293</v>
      </c>
      <c r="BB106" s="973">
        <f t="shared" si="115"/>
        <v>0.65004406000000003</v>
      </c>
      <c r="BC106" s="1029">
        <f t="shared" si="121"/>
        <v>1006990998</v>
      </c>
      <c r="BD106" s="973">
        <f t="shared" si="122"/>
        <v>0.64967161161290321</v>
      </c>
      <c r="BE106" s="1030"/>
      <c r="BF106" s="1030"/>
      <c r="BG106" s="953" t="s">
        <v>1109</v>
      </c>
      <c r="BH106" s="1138" t="s">
        <v>2326</v>
      </c>
      <c r="BI106" s="908" t="s">
        <v>2103</v>
      </c>
    </row>
    <row r="107" spans="1:61" s="908" customFormat="1" ht="47.4" customHeight="1">
      <c r="A107" s="1139" t="s">
        <v>1898</v>
      </c>
      <c r="B107" s="1090" t="s">
        <v>2336</v>
      </c>
      <c r="C107" s="1090"/>
      <c r="D107" s="1046">
        <v>5</v>
      </c>
      <c r="E107" s="1046">
        <v>20</v>
      </c>
      <c r="F107" s="1046">
        <v>20</v>
      </c>
      <c r="G107" s="1046">
        <v>5</v>
      </c>
      <c r="H107" s="949">
        <v>0</v>
      </c>
      <c r="I107" s="949">
        <v>20</v>
      </c>
      <c r="J107" s="949">
        <v>20</v>
      </c>
      <c r="K107" s="949">
        <v>9</v>
      </c>
      <c r="L107" s="949">
        <v>5</v>
      </c>
      <c r="M107" s="949"/>
      <c r="N107" s="949"/>
      <c r="O107" s="973">
        <f t="shared" si="174"/>
        <v>1</v>
      </c>
      <c r="P107" s="973">
        <f t="shared" si="174"/>
        <v>1</v>
      </c>
      <c r="Q107" s="973">
        <f t="shared" si="174"/>
        <v>1</v>
      </c>
      <c r="R107" s="951">
        <f t="shared" si="175"/>
        <v>1</v>
      </c>
      <c r="S107" s="952" t="s">
        <v>2012</v>
      </c>
      <c r="T107" s="974">
        <v>45107</v>
      </c>
      <c r="U107" s="985" t="s">
        <v>2115</v>
      </c>
      <c r="V107" s="985"/>
      <c r="W107" s="952" t="s">
        <v>2116</v>
      </c>
      <c r="X107" s="976" t="s">
        <v>2329</v>
      </c>
      <c r="Y107" s="1035">
        <f t="shared" si="176"/>
        <v>50</v>
      </c>
      <c r="Z107" s="956">
        <f t="shared" si="177"/>
        <v>54</v>
      </c>
      <c r="AA107" s="1021">
        <f t="shared" si="178"/>
        <v>1</v>
      </c>
      <c r="AB107" s="1136">
        <v>0.25</v>
      </c>
      <c r="AC107" s="1136">
        <v>0.3</v>
      </c>
      <c r="AD107" s="973">
        <v>0.26</v>
      </c>
      <c r="AE107" s="1023">
        <v>0.27</v>
      </c>
      <c r="AF107" s="1023">
        <v>0.3</v>
      </c>
      <c r="AG107" s="1137">
        <v>150000000</v>
      </c>
      <c r="AH107" s="1129">
        <v>0</v>
      </c>
      <c r="AI107" s="1137">
        <v>99068176</v>
      </c>
      <c r="AJ107" s="1137">
        <v>149833045</v>
      </c>
      <c r="AK107" s="1137">
        <v>150000000</v>
      </c>
      <c r="AL107" s="1025">
        <f t="shared" si="117"/>
        <v>1</v>
      </c>
      <c r="AM107" s="1129">
        <v>0</v>
      </c>
      <c r="AN107" s="1137">
        <v>97223390</v>
      </c>
      <c r="AO107" s="1137">
        <v>140063341</v>
      </c>
      <c r="AP107" s="1137">
        <v>150000000</v>
      </c>
      <c r="AQ107" s="1026">
        <f t="shared" si="118"/>
        <v>1</v>
      </c>
      <c r="AR107" s="958">
        <f t="shared" si="179"/>
        <v>9769704</v>
      </c>
      <c r="AS107" s="1129">
        <v>0</v>
      </c>
      <c r="AT107" s="1129">
        <v>0</v>
      </c>
      <c r="AU107" s="1129">
        <v>1844786</v>
      </c>
      <c r="AV107" s="1129">
        <v>1817143</v>
      </c>
      <c r="AW107" s="1129">
        <v>9769704</v>
      </c>
      <c r="AX107" s="1129">
        <v>9615275</v>
      </c>
      <c r="AY107" s="1027">
        <f t="shared" si="109"/>
        <v>16.452153514579358</v>
      </c>
      <c r="AZ107" s="1071">
        <v>540000000</v>
      </c>
      <c r="BA107" s="1000">
        <f t="shared" si="120"/>
        <v>398901221</v>
      </c>
      <c r="BB107" s="973">
        <f t="shared" si="115"/>
        <v>0.73870596481481476</v>
      </c>
      <c r="BC107" s="1029">
        <f t="shared" si="121"/>
        <v>398719149</v>
      </c>
      <c r="BD107" s="973">
        <f t="shared" si="122"/>
        <v>0.73836879444444448</v>
      </c>
      <c r="BE107" s="1030"/>
      <c r="BF107" s="1030"/>
      <c r="BG107" s="953" t="s">
        <v>1109</v>
      </c>
      <c r="BH107" s="1138" t="s">
        <v>2326</v>
      </c>
      <c r="BI107" s="908" t="s">
        <v>2103</v>
      </c>
    </row>
    <row r="108" spans="1:61" s="908" customFormat="1" ht="47.4" customHeight="1">
      <c r="A108" s="1139" t="s">
        <v>1899</v>
      </c>
      <c r="B108" s="1090" t="s">
        <v>2337</v>
      </c>
      <c r="C108" s="980" t="s">
        <v>2108</v>
      </c>
      <c r="D108" s="1046">
        <v>1</v>
      </c>
      <c r="E108" s="1046">
        <v>1</v>
      </c>
      <c r="F108" s="1046">
        <v>1</v>
      </c>
      <c r="G108" s="1046">
        <v>1</v>
      </c>
      <c r="H108" s="949">
        <v>1</v>
      </c>
      <c r="I108" s="949">
        <v>1</v>
      </c>
      <c r="J108" s="949">
        <v>1</v>
      </c>
      <c r="K108" s="949">
        <v>1</v>
      </c>
      <c r="L108" s="949"/>
      <c r="M108" s="949"/>
      <c r="N108" s="949"/>
      <c r="O108" s="973">
        <f t="shared" si="174"/>
        <v>1</v>
      </c>
      <c r="P108" s="973">
        <f t="shared" si="174"/>
        <v>1</v>
      </c>
      <c r="Q108" s="973">
        <f t="shared" si="174"/>
        <v>1</v>
      </c>
      <c r="R108" s="951">
        <f t="shared" si="175"/>
        <v>1</v>
      </c>
      <c r="S108" s="952" t="s">
        <v>2338</v>
      </c>
      <c r="T108" s="974">
        <v>45107</v>
      </c>
      <c r="U108" s="985" t="s">
        <v>2115</v>
      </c>
      <c r="V108" s="985"/>
      <c r="W108" s="952" t="s">
        <v>2116</v>
      </c>
      <c r="X108" s="976" t="s">
        <v>2329</v>
      </c>
      <c r="Y108" s="1035">
        <f t="shared" si="176"/>
        <v>4</v>
      </c>
      <c r="Z108" s="956">
        <f t="shared" si="177"/>
        <v>4</v>
      </c>
      <c r="AA108" s="1021">
        <f t="shared" si="178"/>
        <v>1</v>
      </c>
      <c r="AB108" s="1136">
        <v>0.15</v>
      </c>
      <c r="AC108" s="1136">
        <v>0.2</v>
      </c>
      <c r="AD108" s="973">
        <v>0.17</v>
      </c>
      <c r="AE108" s="951">
        <v>0.17</v>
      </c>
      <c r="AF108" s="951">
        <v>0.2</v>
      </c>
      <c r="AG108" s="1137">
        <v>100000000</v>
      </c>
      <c r="AH108" s="1137">
        <v>0</v>
      </c>
      <c r="AI108" s="1137">
        <v>49378784</v>
      </c>
      <c r="AJ108" s="1137">
        <v>99948316</v>
      </c>
      <c r="AK108" s="1137">
        <v>100000000</v>
      </c>
      <c r="AL108" s="1025">
        <f t="shared" si="117"/>
        <v>1</v>
      </c>
      <c r="AM108" s="1137">
        <v>0</v>
      </c>
      <c r="AN108" s="1137">
        <v>48148926</v>
      </c>
      <c r="AO108" s="1137">
        <v>61823593</v>
      </c>
      <c r="AP108" s="1137">
        <v>100000000</v>
      </c>
      <c r="AQ108" s="1026">
        <f t="shared" si="118"/>
        <v>1</v>
      </c>
      <c r="AR108" s="958">
        <f t="shared" si="179"/>
        <v>38124723</v>
      </c>
      <c r="AS108" s="1129">
        <v>0</v>
      </c>
      <c r="AT108" s="1129">
        <v>0</v>
      </c>
      <c r="AU108" s="1129">
        <v>1229858</v>
      </c>
      <c r="AV108" s="1129">
        <v>1211429</v>
      </c>
      <c r="AW108" s="1129">
        <v>38124723</v>
      </c>
      <c r="AX108" s="1129">
        <v>37933345</v>
      </c>
      <c r="AY108" s="1027">
        <f t="shared" si="109"/>
        <v>0.30960345600412625</v>
      </c>
      <c r="AZ108" s="1071">
        <v>350000000</v>
      </c>
      <c r="BA108" s="1000">
        <f t="shared" si="120"/>
        <v>249327100</v>
      </c>
      <c r="BB108" s="973">
        <f t="shared" si="115"/>
        <v>0.71236314285714286</v>
      </c>
      <c r="BC108" s="1029">
        <f t="shared" si="121"/>
        <v>249117293</v>
      </c>
      <c r="BD108" s="973">
        <f t="shared" si="122"/>
        <v>0.71176369428571429</v>
      </c>
      <c r="BE108" s="1030"/>
      <c r="BF108" s="1030"/>
      <c r="BG108" s="953" t="s">
        <v>1109</v>
      </c>
      <c r="BH108" s="1376" t="s">
        <v>2326</v>
      </c>
      <c r="BI108" s="908" t="s">
        <v>2103</v>
      </c>
    </row>
    <row r="109" spans="1:61" s="908" customFormat="1" ht="65.25" hidden="1" customHeight="1">
      <c r="A109" s="1140" t="s">
        <v>1900</v>
      </c>
      <c r="B109" s="1090" t="s">
        <v>2339</v>
      </c>
      <c r="C109" s="1090"/>
      <c r="D109" s="1135">
        <v>0</v>
      </c>
      <c r="E109" s="1135">
        <v>1</v>
      </c>
      <c r="F109" s="1135">
        <v>0</v>
      </c>
      <c r="G109" s="1135">
        <v>0</v>
      </c>
      <c r="H109" s="949">
        <v>0</v>
      </c>
      <c r="I109" s="949">
        <v>1</v>
      </c>
      <c r="J109" s="949">
        <v>0</v>
      </c>
      <c r="K109" s="949"/>
      <c r="L109" s="949"/>
      <c r="M109" s="949"/>
      <c r="N109" s="949"/>
      <c r="O109" s="973">
        <f t="shared" si="174"/>
        <v>0</v>
      </c>
      <c r="P109" s="973">
        <f t="shared" si="174"/>
        <v>1</v>
      </c>
      <c r="Q109" s="951">
        <f t="shared" si="174"/>
        <v>0</v>
      </c>
      <c r="R109" s="951">
        <f t="shared" si="175"/>
        <v>0</v>
      </c>
      <c r="S109" s="952"/>
      <c r="T109" s="952"/>
      <c r="U109" s="984"/>
      <c r="V109" s="985"/>
      <c r="W109" s="952"/>
      <c r="X109" s="952"/>
      <c r="Y109" s="1035">
        <f t="shared" si="176"/>
        <v>1</v>
      </c>
      <c r="Z109" s="956">
        <f t="shared" si="177"/>
        <v>1</v>
      </c>
      <c r="AA109" s="1021">
        <f t="shared" si="178"/>
        <v>1</v>
      </c>
      <c r="AB109" s="1136">
        <v>0.08</v>
      </c>
      <c r="AC109" s="1136">
        <v>0</v>
      </c>
      <c r="AD109" s="973">
        <v>0.1</v>
      </c>
      <c r="AE109" s="951">
        <v>0</v>
      </c>
      <c r="AF109" s="951">
        <v>0</v>
      </c>
      <c r="AG109" s="1137">
        <v>0</v>
      </c>
      <c r="AH109" s="1141" t="s">
        <v>2120</v>
      </c>
      <c r="AI109" s="1137">
        <v>197204527</v>
      </c>
      <c r="AJ109" s="1137">
        <v>0</v>
      </c>
      <c r="AK109" s="1137">
        <v>0</v>
      </c>
      <c r="AL109" s="1025" t="e">
        <f t="shared" si="117"/>
        <v>#DIV/0!</v>
      </c>
      <c r="AM109" s="1141" t="s">
        <v>2120</v>
      </c>
      <c r="AN109" s="1137">
        <v>191670167</v>
      </c>
      <c r="AO109" s="1137">
        <v>0</v>
      </c>
      <c r="AP109" s="1137"/>
      <c r="AQ109" s="1026" t="e">
        <f t="shared" si="118"/>
        <v>#DIV/0!</v>
      </c>
      <c r="AR109" s="958">
        <f t="shared" si="179"/>
        <v>0</v>
      </c>
      <c r="AS109" s="1129">
        <v>0</v>
      </c>
      <c r="AT109" s="1129">
        <v>0</v>
      </c>
      <c r="AU109" s="1129"/>
      <c r="AV109" s="1129"/>
      <c r="AW109" s="1129"/>
      <c r="AX109" s="1129"/>
      <c r="AY109" s="1027" t="e">
        <f t="shared" si="109"/>
        <v>#DIV/0!</v>
      </c>
      <c r="AZ109" s="1071">
        <v>200000000</v>
      </c>
      <c r="BA109" s="1000">
        <f t="shared" si="120"/>
        <v>197204527</v>
      </c>
      <c r="BB109" s="973">
        <f t="shared" si="115"/>
        <v>0.98602263499999998</v>
      </c>
      <c r="BC109" s="1029">
        <f t="shared" si="121"/>
        <v>191670167</v>
      </c>
      <c r="BD109" s="973">
        <f t="shared" si="122"/>
        <v>0.95835083499999996</v>
      </c>
      <c r="BE109" s="1030"/>
      <c r="BF109" s="1030"/>
      <c r="BG109" s="953" t="s">
        <v>1109</v>
      </c>
      <c r="BH109" s="1370"/>
      <c r="BI109" s="908" t="s">
        <v>2103</v>
      </c>
    </row>
    <row r="110" spans="1:61" s="908" customFormat="1" ht="64.5" hidden="1" customHeight="1">
      <c r="A110" s="1140" t="s">
        <v>1941</v>
      </c>
      <c r="B110" s="1090" t="s">
        <v>2340</v>
      </c>
      <c r="C110" s="980" t="s">
        <v>2108</v>
      </c>
      <c r="D110" s="1135">
        <v>0</v>
      </c>
      <c r="E110" s="1135">
        <v>0</v>
      </c>
      <c r="F110" s="1135">
        <v>1</v>
      </c>
      <c r="G110" s="1135">
        <v>0</v>
      </c>
      <c r="H110" s="949">
        <v>0</v>
      </c>
      <c r="I110" s="949">
        <v>0</v>
      </c>
      <c r="J110" s="949">
        <v>1</v>
      </c>
      <c r="K110" s="949"/>
      <c r="L110" s="949"/>
      <c r="M110" s="949"/>
      <c r="N110" s="949"/>
      <c r="O110" s="973">
        <f t="shared" si="174"/>
        <v>0</v>
      </c>
      <c r="P110" s="1021">
        <f t="shared" si="174"/>
        <v>0</v>
      </c>
      <c r="Q110" s="973">
        <f t="shared" si="174"/>
        <v>1</v>
      </c>
      <c r="R110" s="951">
        <f t="shared" si="175"/>
        <v>0</v>
      </c>
      <c r="S110" s="952"/>
      <c r="T110" s="952"/>
      <c r="U110" s="984"/>
      <c r="V110" s="985"/>
      <c r="W110" s="952"/>
      <c r="X110" s="952"/>
      <c r="Y110" s="1035">
        <f t="shared" si="176"/>
        <v>1</v>
      </c>
      <c r="Z110" s="956">
        <f t="shared" si="177"/>
        <v>1</v>
      </c>
      <c r="AA110" s="1021">
        <f t="shared" si="178"/>
        <v>1</v>
      </c>
      <c r="AB110" s="1136">
        <v>7.0000000000000007E-2</v>
      </c>
      <c r="AC110" s="1136">
        <v>0</v>
      </c>
      <c r="AD110" s="973">
        <v>0</v>
      </c>
      <c r="AE110" s="1023">
        <v>0.09</v>
      </c>
      <c r="AF110" s="951">
        <v>0</v>
      </c>
      <c r="AG110" s="1141">
        <v>0</v>
      </c>
      <c r="AH110" s="1141" t="s">
        <v>2120</v>
      </c>
      <c r="AI110" s="1141" t="s">
        <v>2120</v>
      </c>
      <c r="AJ110" s="1141">
        <v>119867588</v>
      </c>
      <c r="AK110" s="1141">
        <v>0</v>
      </c>
      <c r="AL110" s="1025" t="e">
        <f t="shared" si="117"/>
        <v>#DIV/0!</v>
      </c>
      <c r="AM110" s="1141" t="s">
        <v>2120</v>
      </c>
      <c r="AN110" s="1141" t="s">
        <v>2120</v>
      </c>
      <c r="AO110" s="1141">
        <v>18325235</v>
      </c>
      <c r="AP110" s="1141"/>
      <c r="AQ110" s="1026" t="e">
        <f t="shared" si="118"/>
        <v>#DIV/0!</v>
      </c>
      <c r="AR110" s="958">
        <f t="shared" si="179"/>
        <v>101542353</v>
      </c>
      <c r="AS110" s="1129">
        <v>0</v>
      </c>
      <c r="AT110" s="1129">
        <v>0</v>
      </c>
      <c r="AU110" s="1129">
        <v>5534360</v>
      </c>
      <c r="AV110" s="1129">
        <v>5451430</v>
      </c>
      <c r="AW110" s="1129">
        <v>101542353</v>
      </c>
      <c r="AX110" s="1129">
        <v>101380504</v>
      </c>
      <c r="AY110" s="1027">
        <f t="shared" si="109"/>
        <v>0.37357165635111883</v>
      </c>
      <c r="AZ110" s="1071">
        <v>120000000</v>
      </c>
      <c r="BA110" s="1000">
        <f t="shared" si="120"/>
        <v>119867588</v>
      </c>
      <c r="BB110" s="973">
        <f t="shared" si="115"/>
        <v>0.99889656666666671</v>
      </c>
      <c r="BC110" s="1029">
        <f t="shared" si="121"/>
        <v>125157169</v>
      </c>
      <c r="BD110" s="973">
        <f t="shared" si="122"/>
        <v>1.0429764083333333</v>
      </c>
      <c r="BE110" s="1030"/>
      <c r="BF110" s="1030"/>
      <c r="BG110" s="953" t="s">
        <v>1109</v>
      </c>
      <c r="BH110" s="1370"/>
      <c r="BI110" s="908" t="s">
        <v>2103</v>
      </c>
    </row>
    <row r="111" spans="1:61" s="908" customFormat="1" ht="79.5" hidden="1" customHeight="1">
      <c r="A111" s="936" t="s">
        <v>2341</v>
      </c>
      <c r="B111" s="937"/>
      <c r="C111" s="937"/>
      <c r="D111" s="938"/>
      <c r="E111" s="938"/>
      <c r="F111" s="938"/>
      <c r="G111" s="938"/>
      <c r="H111" s="938"/>
      <c r="I111" s="938"/>
      <c r="J111" s="938"/>
      <c r="K111" s="938"/>
      <c r="L111" s="938"/>
      <c r="M111" s="938"/>
      <c r="N111" s="938"/>
      <c r="O111" s="939">
        <f>+SUMPRODUCT(O112:O113,AC112:AC113)</f>
        <v>1</v>
      </c>
      <c r="P111" s="939">
        <f t="shared" ref="P111:R111" si="180">+SUMPRODUCT(P112:P113,AD112:AD113)</f>
        <v>1</v>
      </c>
      <c r="Q111" s="939">
        <f t="shared" si="180"/>
        <v>1</v>
      </c>
      <c r="R111" s="939">
        <f t="shared" si="180"/>
        <v>1</v>
      </c>
      <c r="S111" s="937"/>
      <c r="T111" s="937"/>
      <c r="U111" s="937"/>
      <c r="V111" s="937"/>
      <c r="W111" s="937"/>
      <c r="X111" s="937"/>
      <c r="Y111" s="940"/>
      <c r="Z111" s="940"/>
      <c r="AA111" s="939">
        <f>+SUMPRODUCT(AA112:AA113,AB112:AB113)</f>
        <v>1</v>
      </c>
      <c r="AB111" s="939">
        <v>0.25</v>
      </c>
      <c r="AC111" s="939">
        <v>0.25</v>
      </c>
      <c r="AD111" s="939">
        <v>0.25</v>
      </c>
      <c r="AE111" s="939">
        <v>0.25</v>
      </c>
      <c r="AF111" s="939">
        <v>0.34</v>
      </c>
      <c r="AG111" s="937">
        <f>SUM(AG112:AG113)</f>
        <v>790000000</v>
      </c>
      <c r="AH111" s="937">
        <f>SUM(AH112:AH113)</f>
        <v>0</v>
      </c>
      <c r="AI111" s="937">
        <f>SUM(AI112:AI113)</f>
        <v>839271646</v>
      </c>
      <c r="AJ111" s="937">
        <f>SUM(AJ112:AJ113)</f>
        <v>869036272</v>
      </c>
      <c r="AK111" s="937">
        <f>SUM(AK112:AK113)</f>
        <v>790000000</v>
      </c>
      <c r="AL111" s="943">
        <f t="shared" si="117"/>
        <v>1</v>
      </c>
      <c r="AM111" s="937">
        <f>SUM(AM112:AM113)</f>
        <v>0</v>
      </c>
      <c r="AN111" s="937">
        <f>SUM(AN112:AN113)</f>
        <v>707325355</v>
      </c>
      <c r="AO111" s="937">
        <f>SUM(AO112:AO113)</f>
        <v>645682334</v>
      </c>
      <c r="AP111" s="937">
        <f>SUM(AP112:AP113)</f>
        <v>620246038.91000009</v>
      </c>
      <c r="AQ111" s="944">
        <f t="shared" si="118"/>
        <v>0.78512156824050638</v>
      </c>
      <c r="AR111" s="945">
        <f t="shared" ref="AR111:AX111" si="181">SUM(AR112:AR113)</f>
        <v>223353938</v>
      </c>
      <c r="AS111" s="937">
        <f t="shared" si="181"/>
        <v>0</v>
      </c>
      <c r="AT111" s="937">
        <f t="shared" si="181"/>
        <v>0</v>
      </c>
      <c r="AU111" s="937">
        <f t="shared" si="181"/>
        <v>131946291</v>
      </c>
      <c r="AV111" s="937">
        <f t="shared" si="181"/>
        <v>131623787</v>
      </c>
      <c r="AW111" s="937">
        <f t="shared" si="181"/>
        <v>223353938</v>
      </c>
      <c r="AX111" s="937">
        <f t="shared" si="181"/>
        <v>222822766</v>
      </c>
      <c r="AY111" s="946">
        <f t="shared" si="109"/>
        <v>0</v>
      </c>
      <c r="AZ111" s="937">
        <f t="shared" ref="AZ111" si="182">SUM(AZ112:AZ113)</f>
        <v>3030000000</v>
      </c>
      <c r="BA111" s="937">
        <f t="shared" si="120"/>
        <v>2498307918</v>
      </c>
      <c r="BB111" s="939">
        <f t="shared" si="115"/>
        <v>0.82452406534653466</v>
      </c>
      <c r="BC111" s="1005">
        <f t="shared" si="121"/>
        <v>2327700280.9099998</v>
      </c>
      <c r="BD111" s="939">
        <f t="shared" si="122"/>
        <v>0.76821791449174914</v>
      </c>
      <c r="BE111" s="945"/>
      <c r="BF111" s="945"/>
      <c r="BG111" s="945"/>
      <c r="BH111" s="945"/>
    </row>
    <row r="112" spans="1:61" s="908" customFormat="1" ht="47.4" customHeight="1">
      <c r="A112" s="1126" t="s">
        <v>1901</v>
      </c>
      <c r="B112" s="1090" t="s">
        <v>2342</v>
      </c>
      <c r="C112" s="980" t="s">
        <v>2108</v>
      </c>
      <c r="D112" s="1033">
        <v>5</v>
      </c>
      <c r="E112" s="1033">
        <v>10</v>
      </c>
      <c r="F112" s="1033">
        <v>10</v>
      </c>
      <c r="G112" s="1033">
        <v>8</v>
      </c>
      <c r="H112" s="949">
        <v>0</v>
      </c>
      <c r="I112" s="949">
        <v>10</v>
      </c>
      <c r="J112" s="949">
        <v>10</v>
      </c>
      <c r="K112" s="949">
        <v>8</v>
      </c>
      <c r="L112" s="949">
        <v>5</v>
      </c>
      <c r="M112" s="949"/>
      <c r="N112" s="949"/>
      <c r="O112" s="951">
        <f t="shared" ref="O112:Q113" si="183">+IFERROR(IF((H112+L112)/D112&gt;=100%,100%,(H112+L112)/D112),0)</f>
        <v>1</v>
      </c>
      <c r="P112" s="973">
        <f t="shared" si="183"/>
        <v>1</v>
      </c>
      <c r="Q112" s="973">
        <f t="shared" si="183"/>
        <v>1</v>
      </c>
      <c r="R112" s="951">
        <f t="shared" ref="R112:R113" si="184">+IFERROR(IF(K112/G112&gt;=100%,100%,K112/G112),0)</f>
        <v>1</v>
      </c>
      <c r="S112" s="952" t="s">
        <v>2343</v>
      </c>
      <c r="T112" s="974">
        <v>45107</v>
      </c>
      <c r="U112" s="985" t="s">
        <v>2115</v>
      </c>
      <c r="V112" s="985"/>
      <c r="W112" s="952" t="s">
        <v>2116</v>
      </c>
      <c r="X112" s="976" t="s">
        <v>2344</v>
      </c>
      <c r="Y112" s="1035">
        <f t="shared" ref="Y112:Y113" si="185">SUM(D112:G112)</f>
        <v>33</v>
      </c>
      <c r="Z112" s="956">
        <f t="shared" ref="Z112:Z113" si="186">SUM(H112:N112)</f>
        <v>33</v>
      </c>
      <c r="AA112" s="1021">
        <f t="shared" ref="AA112:AA113" si="187">IF(Z112/Y112&gt;=100%,100%,Z112/Y112)</f>
        <v>1</v>
      </c>
      <c r="AB112" s="1092">
        <v>0.7</v>
      </c>
      <c r="AC112" s="1092">
        <v>1</v>
      </c>
      <c r="AD112" s="1092">
        <v>0.7</v>
      </c>
      <c r="AE112" s="1099">
        <v>0.7</v>
      </c>
      <c r="AF112" s="1099">
        <v>0.7</v>
      </c>
      <c r="AG112" s="1129">
        <v>440000000</v>
      </c>
      <c r="AH112" s="1137">
        <v>0</v>
      </c>
      <c r="AI112" s="1129">
        <v>493930767</v>
      </c>
      <c r="AJ112" s="1129">
        <v>519424295</v>
      </c>
      <c r="AK112" s="1129">
        <v>440000000</v>
      </c>
      <c r="AL112" s="1025">
        <f t="shared" si="117"/>
        <v>1</v>
      </c>
      <c r="AM112" s="1137">
        <v>0</v>
      </c>
      <c r="AN112" s="1129">
        <v>371208408</v>
      </c>
      <c r="AO112" s="1129">
        <v>305890412</v>
      </c>
      <c r="AP112" s="1129">
        <v>270952382</v>
      </c>
      <c r="AQ112" s="1026">
        <f t="shared" si="118"/>
        <v>0.61580086818181823</v>
      </c>
      <c r="AR112" s="958">
        <f t="shared" ref="AR112:AR113" si="188">+AJ112-AO112</f>
        <v>213533883</v>
      </c>
      <c r="AS112" s="1137">
        <v>0</v>
      </c>
      <c r="AT112" s="1137">
        <v>0</v>
      </c>
      <c r="AU112" s="1137">
        <v>122722359</v>
      </c>
      <c r="AV112" s="1137">
        <v>122538071</v>
      </c>
      <c r="AW112" s="1137">
        <v>213533883</v>
      </c>
      <c r="AX112" s="1137">
        <v>213257641</v>
      </c>
      <c r="AY112" s="1027">
        <f t="shared" si="109"/>
        <v>0.4747747878494768</v>
      </c>
      <c r="AZ112" s="1071">
        <v>1980000000</v>
      </c>
      <c r="BA112" s="1000">
        <f t="shared" si="120"/>
        <v>1453355062</v>
      </c>
      <c r="BB112" s="973">
        <f t="shared" si="115"/>
        <v>0.73401770808080813</v>
      </c>
      <c r="BC112" s="1029">
        <f t="shared" si="121"/>
        <v>1283846914</v>
      </c>
      <c r="BD112" s="973">
        <f t="shared" si="122"/>
        <v>0.64840753232323234</v>
      </c>
      <c r="BE112" s="1030"/>
      <c r="BF112" s="1030"/>
      <c r="BG112" s="953" t="s">
        <v>1109</v>
      </c>
      <c r="BH112" s="1130" t="s">
        <v>2326</v>
      </c>
    </row>
    <row r="113" spans="1:61" s="908" customFormat="1" ht="47.4" customHeight="1">
      <c r="A113" s="1126" t="s">
        <v>1869</v>
      </c>
      <c r="B113" s="1090" t="s">
        <v>1870</v>
      </c>
      <c r="C113" s="980" t="s">
        <v>2108</v>
      </c>
      <c r="D113" s="1033">
        <v>0</v>
      </c>
      <c r="E113" s="1033">
        <v>110</v>
      </c>
      <c r="F113" s="1033">
        <v>110</v>
      </c>
      <c r="G113" s="1033">
        <v>110</v>
      </c>
      <c r="H113" s="949">
        <v>0</v>
      </c>
      <c r="I113" s="949">
        <v>110</v>
      </c>
      <c r="J113" s="949">
        <v>110</v>
      </c>
      <c r="K113" s="949">
        <v>110</v>
      </c>
      <c r="L113" s="949"/>
      <c r="M113" s="949"/>
      <c r="N113" s="949"/>
      <c r="O113" s="951">
        <f t="shared" si="183"/>
        <v>0</v>
      </c>
      <c r="P113" s="973">
        <f t="shared" si="183"/>
        <v>1</v>
      </c>
      <c r="Q113" s="973">
        <f t="shared" si="183"/>
        <v>1</v>
      </c>
      <c r="R113" s="951">
        <f t="shared" si="184"/>
        <v>1</v>
      </c>
      <c r="S113" s="952" t="s">
        <v>2345</v>
      </c>
      <c r="T113" s="974">
        <v>45107</v>
      </c>
      <c r="U113" s="985" t="s">
        <v>2115</v>
      </c>
      <c r="V113" s="985"/>
      <c r="W113" s="952" t="s">
        <v>2116</v>
      </c>
      <c r="X113" s="976" t="s">
        <v>2346</v>
      </c>
      <c r="Y113" s="1035">
        <f t="shared" si="185"/>
        <v>330</v>
      </c>
      <c r="Z113" s="956">
        <f t="shared" si="186"/>
        <v>330</v>
      </c>
      <c r="AA113" s="1021">
        <f t="shared" si="187"/>
        <v>1</v>
      </c>
      <c r="AB113" s="1092">
        <v>0.3</v>
      </c>
      <c r="AC113" s="1092">
        <v>0</v>
      </c>
      <c r="AD113" s="1092">
        <v>0.3</v>
      </c>
      <c r="AE113" s="1099">
        <v>0.3</v>
      </c>
      <c r="AF113" s="1099">
        <v>0.3</v>
      </c>
      <c r="AG113" s="1129">
        <v>350000000</v>
      </c>
      <c r="AH113" s="1141" t="s">
        <v>2120</v>
      </c>
      <c r="AI113" s="1129">
        <v>345340879</v>
      </c>
      <c r="AJ113" s="1129">
        <v>349611977</v>
      </c>
      <c r="AK113" s="1129">
        <v>350000000</v>
      </c>
      <c r="AL113" s="1025">
        <f t="shared" si="117"/>
        <v>1</v>
      </c>
      <c r="AM113" s="1141" t="s">
        <v>2120</v>
      </c>
      <c r="AN113" s="1129">
        <v>336116947</v>
      </c>
      <c r="AO113" s="1129">
        <v>339791922</v>
      </c>
      <c r="AP113" s="1129">
        <v>349293656.91000003</v>
      </c>
      <c r="AQ113" s="1026">
        <f t="shared" si="118"/>
        <v>0.99798187688571438</v>
      </c>
      <c r="AR113" s="958">
        <f t="shared" si="188"/>
        <v>9820055</v>
      </c>
      <c r="AS113" s="1137">
        <v>0</v>
      </c>
      <c r="AT113" s="1137">
        <v>0</v>
      </c>
      <c r="AU113" s="1137">
        <v>9223932</v>
      </c>
      <c r="AV113" s="1137">
        <v>9085716</v>
      </c>
      <c r="AW113" s="1137">
        <v>9820055</v>
      </c>
      <c r="AX113" s="1137">
        <v>9565125</v>
      </c>
      <c r="AY113" s="1027">
        <f t="shared" si="109"/>
        <v>22.690582282889455</v>
      </c>
      <c r="AZ113" s="1071">
        <v>1050000000</v>
      </c>
      <c r="BA113" s="1000">
        <f t="shared" si="120"/>
        <v>1044952856</v>
      </c>
      <c r="BB113" s="973">
        <f t="shared" si="115"/>
        <v>0.99519319619047619</v>
      </c>
      <c r="BC113" s="1029">
        <f t="shared" si="121"/>
        <v>1043853366.9100001</v>
      </c>
      <c r="BD113" s="973">
        <f t="shared" si="122"/>
        <v>0.99414606372380965</v>
      </c>
      <c r="BE113" s="1030"/>
      <c r="BF113" s="1030"/>
      <c r="BG113" s="953" t="s">
        <v>697</v>
      </c>
      <c r="BH113" s="1130" t="s">
        <v>2326</v>
      </c>
    </row>
    <row r="114" spans="1:61" s="908" customFormat="1" ht="57.75" hidden="1" customHeight="1">
      <c r="A114" s="936" t="s">
        <v>2347</v>
      </c>
      <c r="B114" s="937"/>
      <c r="C114" s="937"/>
      <c r="D114" s="938"/>
      <c r="E114" s="938"/>
      <c r="F114" s="938"/>
      <c r="G114" s="938"/>
      <c r="H114" s="938"/>
      <c r="I114" s="938"/>
      <c r="J114" s="938"/>
      <c r="K114" s="938"/>
      <c r="L114" s="938"/>
      <c r="M114" s="938"/>
      <c r="N114" s="938"/>
      <c r="O114" s="939">
        <f>+SUMPRODUCT(O115:O116,AC115:AC116)</f>
        <v>1</v>
      </c>
      <c r="P114" s="939">
        <f t="shared" ref="P114:R114" si="189">+SUMPRODUCT(P115:P116,AD115:AD116)</f>
        <v>1</v>
      </c>
      <c r="Q114" s="939">
        <f t="shared" si="189"/>
        <v>1</v>
      </c>
      <c r="R114" s="939">
        <f t="shared" si="189"/>
        <v>0</v>
      </c>
      <c r="S114" s="937"/>
      <c r="T114" s="937"/>
      <c r="U114" s="937"/>
      <c r="V114" s="937"/>
      <c r="W114" s="937"/>
      <c r="X114" s="937"/>
      <c r="Y114" s="940"/>
      <c r="Z114" s="940"/>
      <c r="AA114" s="939">
        <f>+SUMPRODUCT(AA115:AA116,AB115:AB116)</f>
        <v>1</v>
      </c>
      <c r="AB114" s="939">
        <v>0.25</v>
      </c>
      <c r="AC114" s="939">
        <v>0.25</v>
      </c>
      <c r="AD114" s="939">
        <v>0.25</v>
      </c>
      <c r="AE114" s="939">
        <v>0.25</v>
      </c>
      <c r="AF114" s="939">
        <v>0</v>
      </c>
      <c r="AG114" s="937">
        <f>SUM(AG115:AG116)</f>
        <v>0</v>
      </c>
      <c r="AH114" s="937">
        <f>SUM(AH115:AH116)</f>
        <v>774538631</v>
      </c>
      <c r="AI114" s="937">
        <f>SUM(AI115:AI116)</f>
        <v>611768885</v>
      </c>
      <c r="AJ114" s="937">
        <f>SUM(AJ115:AJ116)</f>
        <v>659245055</v>
      </c>
      <c r="AK114" s="937">
        <f>SUM(AK115:AK116)</f>
        <v>0</v>
      </c>
      <c r="AL114" s="943" t="e">
        <f t="shared" si="117"/>
        <v>#DIV/0!</v>
      </c>
      <c r="AM114" s="937">
        <f>SUM(AM115:AM116)</f>
        <v>735874108</v>
      </c>
      <c r="AN114" s="937">
        <f>SUM(AN115:AN116)</f>
        <v>453723271</v>
      </c>
      <c r="AO114" s="937">
        <f>SUM(AO115:AO116)</f>
        <v>364972711</v>
      </c>
      <c r="AP114" s="937"/>
      <c r="AQ114" s="944" t="e">
        <f t="shared" si="118"/>
        <v>#DIV/0!</v>
      </c>
      <c r="AR114" s="945">
        <f t="shared" ref="AR114:AX114" si="190">SUM(AR115:AR116)</f>
        <v>294272344</v>
      </c>
      <c r="AS114" s="945">
        <f t="shared" si="190"/>
        <v>38664523</v>
      </c>
      <c r="AT114" s="945">
        <f t="shared" si="190"/>
        <v>35671583</v>
      </c>
      <c r="AU114" s="945">
        <f t="shared" si="190"/>
        <v>158045614</v>
      </c>
      <c r="AV114" s="945">
        <f t="shared" si="190"/>
        <v>157801432</v>
      </c>
      <c r="AW114" s="945">
        <f t="shared" si="190"/>
        <v>294272344</v>
      </c>
      <c r="AX114" s="945">
        <f t="shared" si="190"/>
        <v>293561107</v>
      </c>
      <c r="AY114" s="946">
        <f t="shared" si="109"/>
        <v>0.72469481195963148</v>
      </c>
      <c r="AZ114" s="937">
        <f t="shared" ref="AZ114" si="191">SUM(AZ115:AZ116)</f>
        <v>2791770856</v>
      </c>
      <c r="BA114" s="937">
        <f t="shared" si="120"/>
        <v>2045552571</v>
      </c>
      <c r="BB114" s="939">
        <f t="shared" si="115"/>
        <v>0.73270790351713588</v>
      </c>
      <c r="BC114" s="1005">
        <f t="shared" si="121"/>
        <v>2041604212</v>
      </c>
      <c r="BD114" s="939">
        <f t="shared" si="122"/>
        <v>0.73129361874819998</v>
      </c>
      <c r="BE114" s="945"/>
      <c r="BF114" s="945"/>
      <c r="BG114" s="945"/>
      <c r="BH114" s="945"/>
    </row>
    <row r="115" spans="1:61" s="908" customFormat="1" ht="183.75" hidden="1" customHeight="1">
      <c r="A115" s="1142" t="s">
        <v>1942</v>
      </c>
      <c r="B115" s="1090" t="s">
        <v>2348</v>
      </c>
      <c r="C115" s="980" t="s">
        <v>2108</v>
      </c>
      <c r="D115" s="1143">
        <v>2</v>
      </c>
      <c r="E115" s="1143">
        <v>2</v>
      </c>
      <c r="F115" s="1143">
        <v>3</v>
      </c>
      <c r="G115" s="1143">
        <v>0</v>
      </c>
      <c r="H115" s="949">
        <v>0</v>
      </c>
      <c r="I115" s="949">
        <v>0</v>
      </c>
      <c r="J115" s="949">
        <v>3</v>
      </c>
      <c r="K115" s="949"/>
      <c r="L115" s="949">
        <v>2</v>
      </c>
      <c r="M115" s="949">
        <v>2</v>
      </c>
      <c r="N115" s="949"/>
      <c r="O115" s="951">
        <f t="shared" ref="O115:Q116" si="192">+IFERROR(IF((H115+L115)/D115&gt;=100%,100%,(H115+L115)/D115),0)</f>
        <v>1</v>
      </c>
      <c r="P115" s="973">
        <f t="shared" si="192"/>
        <v>1</v>
      </c>
      <c r="Q115" s="973">
        <f t="shared" si="192"/>
        <v>1</v>
      </c>
      <c r="R115" s="951">
        <f t="shared" ref="R115:R116" si="193">+IFERROR(IF(K115/G115&gt;=100%,100%,K115/G115),0)</f>
        <v>0</v>
      </c>
      <c r="S115" s="952"/>
      <c r="T115" s="952"/>
      <c r="U115" s="984"/>
      <c r="V115" s="985"/>
      <c r="W115" s="952"/>
      <c r="X115" s="952"/>
      <c r="Y115" s="1035">
        <f t="shared" ref="Y115:Y116" si="194">SUM(D115:G115)</f>
        <v>7</v>
      </c>
      <c r="Z115" s="956">
        <f t="shared" ref="Z115:Z116" si="195">SUM(H115:N115)</f>
        <v>7</v>
      </c>
      <c r="AA115" s="1021">
        <f t="shared" ref="AA115:AA116" si="196">IF(Z115/Y115&gt;=100%,100%,Z115/Y115)</f>
        <v>1</v>
      </c>
      <c r="AB115" s="1092">
        <v>0.25</v>
      </c>
      <c r="AC115" s="1092">
        <v>0.25</v>
      </c>
      <c r="AD115" s="1092">
        <v>0.25</v>
      </c>
      <c r="AE115" s="1099">
        <v>0.25</v>
      </c>
      <c r="AF115" s="1099">
        <v>0</v>
      </c>
      <c r="AG115" s="1144">
        <v>0</v>
      </c>
      <c r="AH115" s="1144">
        <v>774538631</v>
      </c>
      <c r="AI115" s="1144">
        <v>197204527</v>
      </c>
      <c r="AJ115" s="1144">
        <v>259688348</v>
      </c>
      <c r="AK115" s="1144">
        <v>0</v>
      </c>
      <c r="AL115" s="1025" t="e">
        <f t="shared" si="117"/>
        <v>#DIV/0!</v>
      </c>
      <c r="AM115" s="1144">
        <v>735874108</v>
      </c>
      <c r="AN115" s="1144">
        <v>151420167</v>
      </c>
      <c r="AO115" s="1144">
        <v>256207032</v>
      </c>
      <c r="AP115" s="1144"/>
      <c r="AQ115" s="1026" t="e">
        <f t="shared" si="118"/>
        <v>#DIV/0!</v>
      </c>
      <c r="AR115" s="958">
        <f t="shared" ref="AR115:AR116" si="197">+AJ115-AO115</f>
        <v>3481316</v>
      </c>
      <c r="AS115" s="1144">
        <v>38664523</v>
      </c>
      <c r="AT115" s="1144">
        <v>35671583</v>
      </c>
      <c r="AU115" s="1144">
        <v>45784360</v>
      </c>
      <c r="AV115" s="1144">
        <v>45701430</v>
      </c>
      <c r="AW115" s="1144">
        <v>3481316</v>
      </c>
      <c r="AX115" s="1144">
        <v>3062885</v>
      </c>
      <c r="AY115" s="1027">
        <f t="shared" si="109"/>
        <v>2.7475601180702931</v>
      </c>
      <c r="AZ115" s="1071">
        <v>1451770856</v>
      </c>
      <c r="BA115" s="1000">
        <f t="shared" si="120"/>
        <v>1231431506</v>
      </c>
      <c r="BB115" s="1026">
        <f t="shared" si="115"/>
        <v>0.84822718469008862</v>
      </c>
      <c r="BC115" s="1029">
        <f t="shared" si="121"/>
        <v>1227937205</v>
      </c>
      <c r="BD115" s="973">
        <f t="shared" si="122"/>
        <v>0.84582026145867195</v>
      </c>
      <c r="BE115" s="1030"/>
      <c r="BF115" s="969"/>
      <c r="BG115" s="953" t="s">
        <v>1109</v>
      </c>
      <c r="BH115" s="1377" t="s">
        <v>2272</v>
      </c>
    </row>
    <row r="116" spans="1:61" s="908" customFormat="1" ht="99" hidden="1" customHeight="1">
      <c r="A116" s="1142" t="s">
        <v>1873</v>
      </c>
      <c r="B116" s="1090" t="s">
        <v>1874</v>
      </c>
      <c r="C116" s="980" t="s">
        <v>2108</v>
      </c>
      <c r="D116" s="1143">
        <v>25</v>
      </c>
      <c r="E116" s="1143">
        <v>73</v>
      </c>
      <c r="F116" s="1143">
        <v>35</v>
      </c>
      <c r="G116" s="1143">
        <v>0</v>
      </c>
      <c r="H116" s="949">
        <v>0</v>
      </c>
      <c r="I116" s="949">
        <v>73</v>
      </c>
      <c r="J116" s="949">
        <v>35</v>
      </c>
      <c r="K116" s="949"/>
      <c r="L116" s="949">
        <v>25</v>
      </c>
      <c r="M116" s="949"/>
      <c r="N116" s="949"/>
      <c r="O116" s="951">
        <f t="shared" si="192"/>
        <v>1</v>
      </c>
      <c r="P116" s="973">
        <f t="shared" si="192"/>
        <v>1</v>
      </c>
      <c r="Q116" s="973">
        <f t="shared" si="192"/>
        <v>1</v>
      </c>
      <c r="R116" s="951">
        <f t="shared" si="193"/>
        <v>0</v>
      </c>
      <c r="S116" s="952"/>
      <c r="T116" s="952"/>
      <c r="U116" s="985"/>
      <c r="V116" s="985"/>
      <c r="W116" s="952"/>
      <c r="X116" s="976"/>
      <c r="Y116" s="1035">
        <f t="shared" si="194"/>
        <v>133</v>
      </c>
      <c r="Z116" s="956">
        <f t="shared" si="195"/>
        <v>133</v>
      </c>
      <c r="AA116" s="1021">
        <f t="shared" si="196"/>
        <v>1</v>
      </c>
      <c r="AB116" s="1092">
        <v>0.75</v>
      </c>
      <c r="AC116" s="1092">
        <v>0.75</v>
      </c>
      <c r="AD116" s="1092">
        <v>0.75</v>
      </c>
      <c r="AE116" s="1099">
        <v>0.75</v>
      </c>
      <c r="AF116" s="1099">
        <v>0</v>
      </c>
      <c r="AG116" s="1144">
        <v>0</v>
      </c>
      <c r="AH116" s="1144">
        <v>0</v>
      </c>
      <c r="AI116" s="1144">
        <v>414564358</v>
      </c>
      <c r="AJ116" s="1144">
        <v>399556707</v>
      </c>
      <c r="AK116" s="1144">
        <v>0</v>
      </c>
      <c r="AL116" s="1025" t="e">
        <f t="shared" si="117"/>
        <v>#DIV/0!</v>
      </c>
      <c r="AM116" s="1144">
        <v>0</v>
      </c>
      <c r="AN116" s="1144">
        <v>302303104</v>
      </c>
      <c r="AO116" s="1144">
        <v>108765679</v>
      </c>
      <c r="AP116" s="1144"/>
      <c r="AQ116" s="1026" t="e">
        <f t="shared" si="118"/>
        <v>#DIV/0!</v>
      </c>
      <c r="AR116" s="958">
        <f t="shared" si="197"/>
        <v>290791028</v>
      </c>
      <c r="AS116" s="1144">
        <v>0</v>
      </c>
      <c r="AT116" s="1144">
        <v>0</v>
      </c>
      <c r="AU116" s="1144">
        <v>112261254</v>
      </c>
      <c r="AV116" s="1144">
        <v>112100002</v>
      </c>
      <c r="AW116" s="1144">
        <v>290791028</v>
      </c>
      <c r="AX116" s="1144">
        <v>290498222</v>
      </c>
      <c r="AY116" s="1027">
        <f t="shared" si="109"/>
        <v>1.0095260126113657</v>
      </c>
      <c r="AZ116" s="1071">
        <v>1340000000</v>
      </c>
      <c r="BA116" s="1000">
        <f t="shared" si="120"/>
        <v>814121065</v>
      </c>
      <c r="BB116" s="973">
        <f t="shared" si="115"/>
        <v>0.60755303358208956</v>
      </c>
      <c r="BC116" s="1029">
        <f t="shared" si="121"/>
        <v>813667007</v>
      </c>
      <c r="BD116" s="973">
        <f t="shared" si="122"/>
        <v>0.60721418432835816</v>
      </c>
      <c r="BE116" s="1030"/>
      <c r="BF116" s="969"/>
      <c r="BG116" s="953" t="s">
        <v>697</v>
      </c>
      <c r="BH116" s="1370"/>
    </row>
    <row r="117" spans="1:61" s="935" customFormat="1" ht="47.4" customHeight="1">
      <c r="A117" s="925" t="s">
        <v>2349</v>
      </c>
      <c r="B117" s="926"/>
      <c r="C117" s="926"/>
      <c r="D117" s="927"/>
      <c r="E117" s="927"/>
      <c r="F117" s="1108"/>
      <c r="G117" s="1108"/>
      <c r="H117" s="927"/>
      <c r="I117" s="927"/>
      <c r="J117" s="1108"/>
      <c r="K117" s="1108"/>
      <c r="L117" s="927"/>
      <c r="M117" s="927"/>
      <c r="N117" s="927"/>
      <c r="O117" s="928">
        <f>+(O118*AC118)+(O121*AC121)+(O125*AC125)+(O132*AC132)</f>
        <v>1</v>
      </c>
      <c r="P117" s="928">
        <f t="shared" ref="P117:R117" si="198">+(P118*AD118)+(P121*AD121)+(P125*AD125)+(P132*AD132)</f>
        <v>1</v>
      </c>
      <c r="Q117" s="928">
        <f t="shared" si="198"/>
        <v>1</v>
      </c>
      <c r="R117" s="928">
        <f t="shared" si="198"/>
        <v>1</v>
      </c>
      <c r="S117" s="926"/>
      <c r="T117" s="926"/>
      <c r="U117" s="926"/>
      <c r="V117" s="926"/>
      <c r="W117" s="926"/>
      <c r="X117" s="926"/>
      <c r="Y117" s="929"/>
      <c r="Z117" s="929"/>
      <c r="AA117" s="928">
        <f>+(AA118*AB118)+(AA121*AB121)+(AA125*AB125)+(AA132*AB132)</f>
        <v>1</v>
      </c>
      <c r="AB117" s="928">
        <v>0.35</v>
      </c>
      <c r="AC117" s="928">
        <v>0.35</v>
      </c>
      <c r="AD117" s="928">
        <v>0.35</v>
      </c>
      <c r="AE117" s="928">
        <v>0.35</v>
      </c>
      <c r="AF117" s="928">
        <v>0.35</v>
      </c>
      <c r="AG117" s="926">
        <f>+AG118+AG121+AG125+AG132</f>
        <v>1780000000</v>
      </c>
      <c r="AH117" s="926">
        <f>+AH118+AH121+AH125+AH132</f>
        <v>874500000</v>
      </c>
      <c r="AI117" s="926">
        <f>+AI118+AI121+AI125+AI132</f>
        <v>1463313971.6800001</v>
      </c>
      <c r="AJ117" s="926">
        <f>+AJ118+AJ121+AJ125+AJ132</f>
        <v>1672302090.1599998</v>
      </c>
      <c r="AK117" s="926">
        <f>+AK118+AK121+AK125+AK132</f>
        <v>1780000000</v>
      </c>
      <c r="AL117" s="931">
        <f t="shared" si="117"/>
        <v>1</v>
      </c>
      <c r="AM117" s="926">
        <f>+AM118+AM121+AM125+AM132</f>
        <v>94500000</v>
      </c>
      <c r="AN117" s="926">
        <f>+AN118+AN121+AN125+AN132</f>
        <v>1300268561</v>
      </c>
      <c r="AO117" s="926">
        <f>+AO118+AO121+AO125+AO132</f>
        <v>1112650927</v>
      </c>
      <c r="AP117" s="932">
        <f>+AP118+AP121+AP125+AP132</f>
        <v>948282883.75</v>
      </c>
      <c r="AQ117" s="933">
        <f t="shared" si="118"/>
        <v>0.53274319311797758</v>
      </c>
      <c r="AR117" s="926">
        <f t="shared" ref="AR117:AX117" si="199">+AR118+AR121+AR125+AR132</f>
        <v>559651163.15999997</v>
      </c>
      <c r="AS117" s="926">
        <f t="shared" si="199"/>
        <v>780000000</v>
      </c>
      <c r="AT117" s="926">
        <f t="shared" si="199"/>
        <v>692000000</v>
      </c>
      <c r="AU117" s="926">
        <f t="shared" si="199"/>
        <v>163045410.68000001</v>
      </c>
      <c r="AV117" s="926">
        <f t="shared" si="199"/>
        <v>154656811.19999999</v>
      </c>
      <c r="AW117" s="926">
        <f t="shared" si="199"/>
        <v>559651163.15999997</v>
      </c>
      <c r="AX117" s="926">
        <f t="shared" si="199"/>
        <v>552773633.15999997</v>
      </c>
      <c r="AY117" s="934">
        <f t="shared" si="109"/>
        <v>5.4728466616701102E-3</v>
      </c>
      <c r="AZ117" s="926">
        <f t="shared" ref="AZ117" si="200">+AZ118+AZ121+AZ125+AZ132</f>
        <v>6175000000</v>
      </c>
      <c r="BA117" s="926">
        <f t="shared" si="120"/>
        <v>5790116061.8400002</v>
      </c>
      <c r="BB117" s="928">
        <f t="shared" si="115"/>
        <v>0.93767061730202428</v>
      </c>
      <c r="BC117" s="1010">
        <f t="shared" si="121"/>
        <v>4855132816.1099997</v>
      </c>
      <c r="BD117" s="928">
        <f t="shared" si="122"/>
        <v>0.78625632649554655</v>
      </c>
      <c r="BE117" s="926"/>
      <c r="BF117" s="926" t="s">
        <v>1701</v>
      </c>
      <c r="BG117" s="926"/>
      <c r="BH117" s="926"/>
      <c r="BI117" s="935" t="s">
        <v>2103</v>
      </c>
    </row>
    <row r="118" spans="1:61" s="908" customFormat="1" ht="47.4" customHeight="1">
      <c r="A118" s="936" t="s">
        <v>2350</v>
      </c>
      <c r="B118" s="937"/>
      <c r="C118" s="937"/>
      <c r="D118" s="938"/>
      <c r="E118" s="938"/>
      <c r="F118" s="938"/>
      <c r="G118" s="938"/>
      <c r="H118" s="938"/>
      <c r="I118" s="938"/>
      <c r="J118" s="938"/>
      <c r="K118" s="938"/>
      <c r="L118" s="938"/>
      <c r="M118" s="938"/>
      <c r="N118" s="938"/>
      <c r="O118" s="939">
        <f>+SUMPRODUCT(O119:O120,AC119:AC120)</f>
        <v>1</v>
      </c>
      <c r="P118" s="939">
        <f t="shared" ref="P118:R118" si="201">+SUMPRODUCT(P119:P120,AD119:AD120)</f>
        <v>1</v>
      </c>
      <c r="Q118" s="939">
        <f t="shared" si="201"/>
        <v>1</v>
      </c>
      <c r="R118" s="939">
        <f t="shared" si="201"/>
        <v>1</v>
      </c>
      <c r="S118" s="937"/>
      <c r="T118" s="937"/>
      <c r="U118" s="937"/>
      <c r="V118" s="937"/>
      <c r="W118" s="937"/>
      <c r="X118" s="937"/>
      <c r="Y118" s="940"/>
      <c r="Z118" s="940"/>
      <c r="AA118" s="939">
        <f>+SUMPRODUCT(AA119:AA120,AB119:AB120)</f>
        <v>1</v>
      </c>
      <c r="AB118" s="939">
        <v>0.25</v>
      </c>
      <c r="AC118" s="939">
        <v>0.25</v>
      </c>
      <c r="AD118" s="939">
        <v>0.25</v>
      </c>
      <c r="AE118" s="939">
        <v>0.25</v>
      </c>
      <c r="AF118" s="939">
        <v>0.25</v>
      </c>
      <c r="AG118" s="937">
        <f>SUM(AG119:AG120)</f>
        <v>250000000</v>
      </c>
      <c r="AH118" s="937">
        <f>SUM(AH119:AH120)</f>
        <v>94500000</v>
      </c>
      <c r="AI118" s="937">
        <f>SUM(AI119:AI120)</f>
        <v>467921845</v>
      </c>
      <c r="AJ118" s="937">
        <f>SUM(AJ119:AJ120)</f>
        <v>649281522</v>
      </c>
      <c r="AK118" s="937">
        <f>SUM(AK119:AK120)</f>
        <v>250000000</v>
      </c>
      <c r="AL118" s="943">
        <f t="shared" si="117"/>
        <v>1</v>
      </c>
      <c r="AM118" s="937">
        <f>SUM(AM119:AM120)</f>
        <v>82500000</v>
      </c>
      <c r="AN118" s="937">
        <f>SUM(AN119:AN120)</f>
        <v>452912348</v>
      </c>
      <c r="AO118" s="937">
        <f>SUM(AO119:AO120)</f>
        <v>414575379</v>
      </c>
      <c r="AP118" s="937">
        <f>SUM(AP119:AP120)</f>
        <v>75583325</v>
      </c>
      <c r="AQ118" s="944">
        <f t="shared" si="118"/>
        <v>0.30233330000000003</v>
      </c>
      <c r="AR118" s="945">
        <f t="shared" ref="AR118:AX118" si="202">SUM(AR119:AR120)</f>
        <v>234706143</v>
      </c>
      <c r="AS118" s="937">
        <f t="shared" si="202"/>
        <v>12000000</v>
      </c>
      <c r="AT118" s="937">
        <f t="shared" si="202"/>
        <v>12000000</v>
      </c>
      <c r="AU118" s="937">
        <f t="shared" si="202"/>
        <v>15009497</v>
      </c>
      <c r="AV118" s="937">
        <f t="shared" si="202"/>
        <v>14799549</v>
      </c>
      <c r="AW118" s="937">
        <f t="shared" si="202"/>
        <v>234706143</v>
      </c>
      <c r="AX118" s="937">
        <f t="shared" si="202"/>
        <v>234145237</v>
      </c>
      <c r="AY118" s="946">
        <f t="shared" si="109"/>
        <v>1.2377103482971044</v>
      </c>
      <c r="AZ118" s="945">
        <f t="shared" ref="AZ118" si="203">SUM(AZ119:AZ120)</f>
        <v>1515000000</v>
      </c>
      <c r="BA118" s="945">
        <f t="shared" si="120"/>
        <v>1461703367</v>
      </c>
      <c r="BB118" s="939">
        <f t="shared" si="115"/>
        <v>0.96482070429042899</v>
      </c>
      <c r="BC118" s="1005">
        <f t="shared" si="121"/>
        <v>1286515838</v>
      </c>
      <c r="BD118" s="939">
        <f t="shared" si="122"/>
        <v>0.84918537161716168</v>
      </c>
      <c r="BE118" s="945"/>
      <c r="BF118" s="945"/>
      <c r="BG118" s="945"/>
      <c r="BH118" s="945"/>
    </row>
    <row r="119" spans="1:61" s="908" customFormat="1" ht="47.4" customHeight="1">
      <c r="A119" s="1145" t="s">
        <v>1902</v>
      </c>
      <c r="B119" s="1146" t="s">
        <v>2351</v>
      </c>
      <c r="C119" s="948" t="s">
        <v>1056</v>
      </c>
      <c r="D119" s="1325">
        <v>1</v>
      </c>
      <c r="E119" s="1325">
        <v>1</v>
      </c>
      <c r="F119" s="1325">
        <v>1</v>
      </c>
      <c r="G119" s="1325">
        <v>1</v>
      </c>
      <c r="H119" s="1325">
        <v>1</v>
      </c>
      <c r="I119" s="951">
        <v>1</v>
      </c>
      <c r="J119" s="951">
        <v>1</v>
      </c>
      <c r="K119" s="951">
        <v>1</v>
      </c>
      <c r="L119" s="949"/>
      <c r="M119" s="949"/>
      <c r="N119" s="949"/>
      <c r="O119" s="951">
        <f t="shared" ref="O119:Q120" si="204">+IFERROR(IF((H119+L119)/D119&gt;=100%,100%,(H119+L119)/D119),0)</f>
        <v>1</v>
      </c>
      <c r="P119" s="973">
        <f t="shared" si="204"/>
        <v>1</v>
      </c>
      <c r="Q119" s="973">
        <f t="shared" si="204"/>
        <v>1</v>
      </c>
      <c r="R119" s="951">
        <f t="shared" ref="R119:R120" si="205">+IFERROR(IF(K119/G119&gt;=100%,100%,K119/G119),0)</f>
        <v>1</v>
      </c>
      <c r="S119" s="953" t="s">
        <v>2352</v>
      </c>
      <c r="T119" s="974">
        <v>45107</v>
      </c>
      <c r="U119" s="985" t="s">
        <v>2115</v>
      </c>
      <c r="V119" s="985"/>
      <c r="W119" s="952" t="s">
        <v>2116</v>
      </c>
      <c r="X119" s="976" t="s">
        <v>2353</v>
      </c>
      <c r="Y119" s="1147">
        <f t="shared" ref="Y119:Y120" si="206">SUM(D119:G119)</f>
        <v>4</v>
      </c>
      <c r="Z119" s="956">
        <f t="shared" ref="Z119:Z120" si="207">SUM(H119:N119)</f>
        <v>4</v>
      </c>
      <c r="AA119" s="971">
        <f>IF(Z119/Y119&gt;=100%,100%,Z119/Y119)</f>
        <v>1</v>
      </c>
      <c r="AB119" s="1099">
        <v>0.5</v>
      </c>
      <c r="AC119" s="1099">
        <v>1</v>
      </c>
      <c r="AD119" s="1099">
        <v>0.5</v>
      </c>
      <c r="AE119" s="1099">
        <v>0.5</v>
      </c>
      <c r="AF119" s="1099">
        <v>1</v>
      </c>
      <c r="AG119" s="1148">
        <v>250000000</v>
      </c>
      <c r="AH119" s="1148">
        <v>94500000</v>
      </c>
      <c r="AI119" s="1148">
        <v>246583312</v>
      </c>
      <c r="AJ119" s="1148">
        <v>299668395</v>
      </c>
      <c r="AK119" s="1148">
        <v>250000000</v>
      </c>
      <c r="AL119" s="959">
        <f t="shared" si="117"/>
        <v>1</v>
      </c>
      <c r="AM119" s="1148">
        <v>82500000</v>
      </c>
      <c r="AN119" s="1148">
        <v>238819095</v>
      </c>
      <c r="AO119" s="1148">
        <v>262704021</v>
      </c>
      <c r="AP119" s="1148">
        <v>75583325</v>
      </c>
      <c r="AQ119" s="971">
        <f t="shared" si="118"/>
        <v>0.30233330000000003</v>
      </c>
      <c r="AR119" s="958">
        <f t="shared" ref="AR119:AR120" si="208">+AJ119-AO119</f>
        <v>36964374</v>
      </c>
      <c r="AS119" s="1148">
        <v>12000000</v>
      </c>
      <c r="AT119" s="1148">
        <v>12000000</v>
      </c>
      <c r="AU119" s="1148">
        <v>7764217</v>
      </c>
      <c r="AV119" s="1148">
        <v>7662859</v>
      </c>
      <c r="AW119" s="1148">
        <v>36964374</v>
      </c>
      <c r="AX119" s="1148">
        <v>36657646</v>
      </c>
      <c r="AY119" s="999">
        <f t="shared" si="109"/>
        <v>14.954226822832167</v>
      </c>
      <c r="AZ119" s="1084">
        <v>940000000</v>
      </c>
      <c r="BA119" s="1000">
        <f t="shared" si="120"/>
        <v>890751707</v>
      </c>
      <c r="BB119" s="973">
        <f t="shared" si="115"/>
        <v>0.94760819893617021</v>
      </c>
      <c r="BC119" s="1029">
        <f t="shared" si="121"/>
        <v>715926946</v>
      </c>
      <c r="BD119" s="973">
        <f t="shared" si="122"/>
        <v>0.76162441063829789</v>
      </c>
      <c r="BE119" s="969"/>
      <c r="BF119" s="969"/>
      <c r="BG119" s="953" t="s">
        <v>1109</v>
      </c>
      <c r="BH119" s="1149" t="s">
        <v>2326</v>
      </c>
    </row>
    <row r="120" spans="1:61" s="908" customFormat="1" ht="69" hidden="1" customHeight="1">
      <c r="A120" s="1145" t="s">
        <v>1903</v>
      </c>
      <c r="B120" s="1146" t="s">
        <v>2354</v>
      </c>
      <c r="C120" s="980" t="s">
        <v>2108</v>
      </c>
      <c r="D120" s="1143">
        <v>0</v>
      </c>
      <c r="E120" s="1143">
        <v>10</v>
      </c>
      <c r="F120" s="1143">
        <v>12</v>
      </c>
      <c r="G120" s="1143">
        <v>0</v>
      </c>
      <c r="H120" s="1143">
        <v>0</v>
      </c>
      <c r="I120" s="949">
        <v>10</v>
      </c>
      <c r="J120" s="949">
        <v>12</v>
      </c>
      <c r="K120" s="949"/>
      <c r="L120" s="949"/>
      <c r="M120" s="949"/>
      <c r="N120" s="949"/>
      <c r="O120" s="951">
        <f t="shared" si="204"/>
        <v>0</v>
      </c>
      <c r="P120" s="973">
        <f t="shared" si="204"/>
        <v>1</v>
      </c>
      <c r="Q120" s="973">
        <f t="shared" si="204"/>
        <v>1</v>
      </c>
      <c r="R120" s="951">
        <f t="shared" si="205"/>
        <v>0</v>
      </c>
      <c r="S120" s="953"/>
      <c r="T120" s="953"/>
      <c r="U120" s="985"/>
      <c r="V120" s="985"/>
      <c r="W120" s="952"/>
      <c r="X120" s="976"/>
      <c r="Y120" s="1143">
        <f t="shared" si="206"/>
        <v>22</v>
      </c>
      <c r="Z120" s="956">
        <f t="shared" si="207"/>
        <v>22</v>
      </c>
      <c r="AA120" s="971">
        <f>IF(Z120/Y120&gt;=100%,100%,Z120/Y120)</f>
        <v>1</v>
      </c>
      <c r="AB120" s="1099">
        <v>0.5</v>
      </c>
      <c r="AC120" s="1099">
        <v>0</v>
      </c>
      <c r="AD120" s="1099">
        <v>0.5</v>
      </c>
      <c r="AE120" s="1099">
        <v>0.5</v>
      </c>
      <c r="AF120" s="1099">
        <v>0</v>
      </c>
      <c r="AG120" s="1148">
        <v>0</v>
      </c>
      <c r="AH120" s="1148">
        <v>0</v>
      </c>
      <c r="AI120" s="1148">
        <v>221338533</v>
      </c>
      <c r="AJ120" s="1148">
        <v>349613127</v>
      </c>
      <c r="AK120" s="1148">
        <v>0</v>
      </c>
      <c r="AL120" s="959" t="e">
        <f t="shared" si="117"/>
        <v>#DIV/0!</v>
      </c>
      <c r="AM120" s="1148">
        <v>0</v>
      </c>
      <c r="AN120" s="1148">
        <v>214093253</v>
      </c>
      <c r="AO120" s="1148">
        <v>151871358</v>
      </c>
      <c r="AP120" s="1148"/>
      <c r="AQ120" s="971" t="e">
        <f t="shared" si="118"/>
        <v>#DIV/0!</v>
      </c>
      <c r="AR120" s="958">
        <f t="shared" si="208"/>
        <v>197741769</v>
      </c>
      <c r="AS120" s="1148">
        <v>0</v>
      </c>
      <c r="AT120" s="1148">
        <v>0</v>
      </c>
      <c r="AU120" s="1148">
        <v>7245280</v>
      </c>
      <c r="AV120" s="1148">
        <v>7136690</v>
      </c>
      <c r="AW120" s="1148">
        <v>197741769</v>
      </c>
      <c r="AX120" s="1148">
        <v>197487591</v>
      </c>
      <c r="AY120" s="999">
        <f t="shared" si="109"/>
        <v>1.1840959964305771</v>
      </c>
      <c r="AZ120" s="1084">
        <v>575000000</v>
      </c>
      <c r="BA120" s="1000">
        <f t="shared" si="120"/>
        <v>570951660</v>
      </c>
      <c r="BB120" s="973">
        <f t="shared" si="115"/>
        <v>0.99295940869565213</v>
      </c>
      <c r="BC120" s="1029">
        <f t="shared" si="121"/>
        <v>570588892</v>
      </c>
      <c r="BD120" s="973">
        <f t="shared" si="122"/>
        <v>0.99232850782608695</v>
      </c>
      <c r="BE120" s="969"/>
      <c r="BF120" s="969"/>
      <c r="BG120" s="953" t="s">
        <v>1109</v>
      </c>
      <c r="BH120" s="1149" t="s">
        <v>2326</v>
      </c>
    </row>
    <row r="121" spans="1:61" s="908" customFormat="1" ht="47.4" customHeight="1">
      <c r="A121" s="936" t="s">
        <v>2355</v>
      </c>
      <c r="B121" s="937"/>
      <c r="C121" s="937"/>
      <c r="D121" s="938"/>
      <c r="E121" s="938"/>
      <c r="F121" s="938"/>
      <c r="G121" s="938"/>
      <c r="H121" s="938"/>
      <c r="I121" s="938"/>
      <c r="J121" s="938"/>
      <c r="K121" s="938"/>
      <c r="L121" s="938"/>
      <c r="M121" s="938"/>
      <c r="N121" s="938"/>
      <c r="O121" s="939">
        <f>+SUMPRODUCT(O122:O124,AC122:AC124)</f>
        <v>1</v>
      </c>
      <c r="P121" s="939">
        <f t="shared" ref="P121:R121" si="209">+SUMPRODUCT(P122:P124,AD122:AD124)</f>
        <v>1</v>
      </c>
      <c r="Q121" s="939">
        <f t="shared" si="209"/>
        <v>1</v>
      </c>
      <c r="R121" s="939">
        <f t="shared" si="209"/>
        <v>1</v>
      </c>
      <c r="S121" s="937"/>
      <c r="T121" s="937"/>
      <c r="U121" s="937"/>
      <c r="V121" s="937"/>
      <c r="W121" s="937"/>
      <c r="X121" s="937"/>
      <c r="Y121" s="940"/>
      <c r="Z121" s="940"/>
      <c r="AA121" s="939">
        <f>+SUMPRODUCT(AA122:AA124,AB122:AB124)</f>
        <v>1</v>
      </c>
      <c r="AB121" s="939">
        <v>0.25</v>
      </c>
      <c r="AC121" s="939">
        <v>0.25</v>
      </c>
      <c r="AD121" s="939">
        <v>0.25</v>
      </c>
      <c r="AE121" s="939">
        <v>0.25</v>
      </c>
      <c r="AF121" s="939">
        <v>0.25</v>
      </c>
      <c r="AG121" s="937">
        <f>SUM(AG122:AG124)</f>
        <v>680000000</v>
      </c>
      <c r="AH121" s="937">
        <f>SUM(AH122:AH124)</f>
        <v>680000000</v>
      </c>
      <c r="AI121" s="937">
        <f>SUM(AI122:AI124)</f>
        <v>523011320</v>
      </c>
      <c r="AJ121" s="937">
        <f>SUM(AJ122:AJ124)</f>
        <v>622866147</v>
      </c>
      <c r="AK121" s="937">
        <f>SUM(AK122:AK124)</f>
        <v>680000000</v>
      </c>
      <c r="AL121" s="943">
        <f t="shared" si="117"/>
        <v>1</v>
      </c>
      <c r="AM121" s="937">
        <f>SUM(AM122:AM124)</f>
        <v>0</v>
      </c>
      <c r="AN121" s="937">
        <f>SUM(AN122:AN124)</f>
        <v>479175420</v>
      </c>
      <c r="AO121" s="937">
        <f>SUM(AO122:AO124)</f>
        <v>448091489</v>
      </c>
      <c r="AP121" s="937">
        <f>SUM(AP122:AP124)</f>
        <v>519364471.75</v>
      </c>
      <c r="AQ121" s="944">
        <f t="shared" si="118"/>
        <v>0.76377128198529409</v>
      </c>
      <c r="AR121" s="945">
        <f t="shared" ref="AR121:AX121" si="210">SUM(AR122:AR124)</f>
        <v>174774658</v>
      </c>
      <c r="AS121" s="937">
        <f t="shared" si="210"/>
        <v>680000000</v>
      </c>
      <c r="AT121" s="937">
        <f t="shared" si="210"/>
        <v>680000000</v>
      </c>
      <c r="AU121" s="937">
        <f t="shared" si="210"/>
        <v>43835900</v>
      </c>
      <c r="AV121" s="937">
        <f t="shared" si="210"/>
        <v>43628576</v>
      </c>
      <c r="AW121" s="937">
        <f t="shared" si="210"/>
        <v>174774658</v>
      </c>
      <c r="AX121" s="937">
        <f t="shared" si="210"/>
        <v>172502810</v>
      </c>
      <c r="AY121" s="946">
        <f t="shared" si="109"/>
        <v>0.20974234147836238</v>
      </c>
      <c r="AZ121" s="937">
        <f t="shared" ref="AZ121" si="211">SUM(AZ122:AZ124)</f>
        <v>2520000000</v>
      </c>
      <c r="BA121" s="937">
        <f t="shared" si="120"/>
        <v>2505877467</v>
      </c>
      <c r="BB121" s="939">
        <f t="shared" si="115"/>
        <v>0.99439582023809525</v>
      </c>
      <c r="BC121" s="1005">
        <f t="shared" si="121"/>
        <v>2342762766.75</v>
      </c>
      <c r="BD121" s="939">
        <f t="shared" si="122"/>
        <v>0.92966776458333333</v>
      </c>
      <c r="BE121" s="945"/>
      <c r="BF121" s="945"/>
      <c r="BG121" s="945"/>
      <c r="BH121" s="945"/>
      <c r="BI121" s="908" t="s">
        <v>2103</v>
      </c>
    </row>
    <row r="122" spans="1:61" s="908" customFormat="1" ht="47.4" customHeight="1">
      <c r="A122" s="1140" t="s">
        <v>1904</v>
      </c>
      <c r="B122" s="1150" t="s">
        <v>2356</v>
      </c>
      <c r="C122" s="980" t="s">
        <v>2108</v>
      </c>
      <c r="D122" s="1033">
        <v>2</v>
      </c>
      <c r="E122" s="1033">
        <v>7</v>
      </c>
      <c r="F122" s="1033">
        <v>7</v>
      </c>
      <c r="G122" s="1033">
        <v>4</v>
      </c>
      <c r="H122" s="949">
        <v>0</v>
      </c>
      <c r="I122" s="949">
        <v>7</v>
      </c>
      <c r="J122" s="949">
        <v>7</v>
      </c>
      <c r="K122" s="949">
        <v>4</v>
      </c>
      <c r="L122" s="949">
        <v>2</v>
      </c>
      <c r="M122" s="949"/>
      <c r="N122" s="949"/>
      <c r="O122" s="951">
        <f t="shared" ref="O122:Q124" si="212">+IFERROR(IF((H122+L122)/D122&gt;=100%,100%,(H122+L122)/D122),0)</f>
        <v>1</v>
      </c>
      <c r="P122" s="973">
        <f t="shared" si="212"/>
        <v>1</v>
      </c>
      <c r="Q122" s="973">
        <f t="shared" si="212"/>
        <v>1</v>
      </c>
      <c r="R122" s="951">
        <f t="shared" ref="R122:R124" si="213">+IFERROR(IF(K122/G122&gt;=100%,100%,K122/G122),0)</f>
        <v>1</v>
      </c>
      <c r="S122" s="953" t="s">
        <v>2357</v>
      </c>
      <c r="T122" s="974">
        <v>45107</v>
      </c>
      <c r="U122" s="985" t="s">
        <v>2115</v>
      </c>
      <c r="V122" s="985"/>
      <c r="W122" s="952" t="s">
        <v>2116</v>
      </c>
      <c r="X122" s="976" t="s">
        <v>2346</v>
      </c>
      <c r="Y122" s="956">
        <f t="shared" ref="Y122:Y124" si="214">SUM(D122:G122)</f>
        <v>20</v>
      </c>
      <c r="Z122" s="956">
        <f t="shared" ref="Z122:Z124" si="215">SUM(H122:N122)</f>
        <v>20</v>
      </c>
      <c r="AA122" s="971">
        <f>IF(Z122/Y122&gt;=100%,100%,Z122/Y122)</f>
        <v>1</v>
      </c>
      <c r="AB122" s="1099">
        <v>0.35</v>
      </c>
      <c r="AC122" s="1099">
        <v>0.35</v>
      </c>
      <c r="AD122" s="1099">
        <v>0.35</v>
      </c>
      <c r="AE122" s="1099">
        <v>0.35</v>
      </c>
      <c r="AF122" s="1099">
        <v>0.35</v>
      </c>
      <c r="AG122" s="1151">
        <v>400000000</v>
      </c>
      <c r="AH122" s="1152">
        <v>480000000</v>
      </c>
      <c r="AI122" s="1152">
        <f>345340879/2</f>
        <v>172670439.5</v>
      </c>
      <c r="AJ122" s="1152">
        <v>395553830</v>
      </c>
      <c r="AK122" s="1152">
        <v>400000000</v>
      </c>
      <c r="AL122" s="959">
        <f t="shared" si="117"/>
        <v>1</v>
      </c>
      <c r="AM122" s="1152">
        <v>0</v>
      </c>
      <c r="AN122" s="1152">
        <f>306116947/2</f>
        <v>153058473.5</v>
      </c>
      <c r="AO122" s="1153">
        <v>425232234</v>
      </c>
      <c r="AP122" s="1154">
        <v>400000000</v>
      </c>
      <c r="AQ122" s="971">
        <f t="shared" si="118"/>
        <v>1</v>
      </c>
      <c r="AR122" s="958">
        <f>+AJ122-AO122</f>
        <v>-29678404</v>
      </c>
      <c r="AS122" s="1152">
        <f>480000000/2</f>
        <v>240000000</v>
      </c>
      <c r="AT122" s="1152">
        <f>480000000/2</f>
        <v>240000000</v>
      </c>
      <c r="AU122" s="1152">
        <f>39223932/2</f>
        <v>19611966</v>
      </c>
      <c r="AV122" s="1152">
        <f>39085716/2</f>
        <v>19542858</v>
      </c>
      <c r="AW122" s="1152">
        <f>27821596/2</f>
        <v>13910798</v>
      </c>
      <c r="AX122" s="1152">
        <f>27036478/2</f>
        <v>13518239</v>
      </c>
      <c r="AY122" s="999">
        <f t="shared" si="109"/>
        <v>14.19671186369035</v>
      </c>
      <c r="AZ122" s="1084">
        <v>1435000000</v>
      </c>
      <c r="BA122" s="1000">
        <f t="shared" si="120"/>
        <v>1448224269.5</v>
      </c>
      <c r="BB122" s="973">
        <f t="shared" si="115"/>
        <v>1.0092155188153311</v>
      </c>
      <c r="BC122" s="1029">
        <f t="shared" si="121"/>
        <v>1251351804.5</v>
      </c>
      <c r="BD122" s="973">
        <f t="shared" si="122"/>
        <v>0.87202216341463412</v>
      </c>
      <c r="BE122" s="1030"/>
      <c r="BF122" s="1030"/>
      <c r="BG122" s="953" t="s">
        <v>1109</v>
      </c>
      <c r="BH122" s="1376" t="s">
        <v>2358</v>
      </c>
      <c r="BI122" s="908" t="s">
        <v>2103</v>
      </c>
    </row>
    <row r="123" spans="1:61" s="908" customFormat="1" ht="47.4" customHeight="1">
      <c r="A123" s="1140" t="s">
        <v>1905</v>
      </c>
      <c r="B123" s="1150" t="s">
        <v>2359</v>
      </c>
      <c r="C123" s="980" t="s">
        <v>2108</v>
      </c>
      <c r="D123" s="1033">
        <v>1</v>
      </c>
      <c r="E123" s="1033">
        <v>1</v>
      </c>
      <c r="F123" s="1033">
        <v>1</v>
      </c>
      <c r="G123" s="1033">
        <v>1</v>
      </c>
      <c r="H123" s="949">
        <v>0</v>
      </c>
      <c r="I123" s="949">
        <v>1</v>
      </c>
      <c r="J123" s="949">
        <v>1</v>
      </c>
      <c r="K123" s="949">
        <v>1</v>
      </c>
      <c r="L123" s="949">
        <v>1</v>
      </c>
      <c r="M123" s="949"/>
      <c r="N123" s="949"/>
      <c r="O123" s="951">
        <f t="shared" si="212"/>
        <v>1</v>
      </c>
      <c r="P123" s="973">
        <f t="shared" si="212"/>
        <v>1</v>
      </c>
      <c r="Q123" s="973">
        <f t="shared" si="212"/>
        <v>1</v>
      </c>
      <c r="R123" s="951">
        <f t="shared" si="213"/>
        <v>1</v>
      </c>
      <c r="S123" s="953" t="s">
        <v>2360</v>
      </c>
      <c r="T123" s="974">
        <v>45107</v>
      </c>
      <c r="U123" s="985" t="s">
        <v>2115</v>
      </c>
      <c r="V123" s="985"/>
      <c r="W123" s="952" t="s">
        <v>2116</v>
      </c>
      <c r="X123" s="976" t="s">
        <v>2346</v>
      </c>
      <c r="Y123" s="956">
        <f t="shared" si="214"/>
        <v>4</v>
      </c>
      <c r="Z123" s="956">
        <f t="shared" si="215"/>
        <v>4</v>
      </c>
      <c r="AA123" s="971">
        <f t="shared" ref="AA123:AA124" si="216">IF(Z123/Y123&gt;=100%,100%,Z123/Y123)</f>
        <v>1</v>
      </c>
      <c r="AB123" s="1099">
        <v>0.35</v>
      </c>
      <c r="AC123" s="1099">
        <v>0.35</v>
      </c>
      <c r="AD123" s="1099">
        <v>0.35</v>
      </c>
      <c r="AE123" s="1099">
        <v>0.35</v>
      </c>
      <c r="AF123" s="1099">
        <v>0.35</v>
      </c>
      <c r="AG123" s="1151">
        <v>80000000</v>
      </c>
      <c r="AH123" s="1155">
        <v>0</v>
      </c>
      <c r="AI123" s="1152">
        <f>345340879/2</f>
        <v>172670439.5</v>
      </c>
      <c r="AJ123" s="1152">
        <v>57500000</v>
      </c>
      <c r="AK123" s="1152">
        <v>80000000</v>
      </c>
      <c r="AL123" s="959">
        <f t="shared" si="117"/>
        <v>1</v>
      </c>
      <c r="AM123" s="1155">
        <v>0</v>
      </c>
      <c r="AN123" s="1152">
        <f>306116947/2</f>
        <v>153058473.5</v>
      </c>
      <c r="AO123" s="1152">
        <v>0</v>
      </c>
      <c r="AP123" s="1152">
        <v>79697811.75</v>
      </c>
      <c r="AQ123" s="971">
        <f t="shared" si="118"/>
        <v>0.99622264687499995</v>
      </c>
      <c r="AR123" s="958">
        <f t="shared" ref="AR123" si="217">+AJ123-AO123</f>
        <v>57500000</v>
      </c>
      <c r="AS123" s="1152">
        <f>480000000/2</f>
        <v>240000000</v>
      </c>
      <c r="AT123" s="1152">
        <f>480000000/2</f>
        <v>240000000</v>
      </c>
      <c r="AU123" s="1152">
        <f>39223932/2</f>
        <v>19611966</v>
      </c>
      <c r="AV123" s="1152">
        <f>39085716/2</f>
        <v>19542858</v>
      </c>
      <c r="AW123" s="1152">
        <f>27821596/2</f>
        <v>13910798</v>
      </c>
      <c r="AX123" s="1152">
        <f>27036478/2</f>
        <v>13518239</v>
      </c>
      <c r="AY123" s="999">
        <f t="shared" si="109"/>
        <v>12.40064085467994</v>
      </c>
      <c r="AZ123" s="1084">
        <v>335000000</v>
      </c>
      <c r="BA123" s="1000">
        <f t="shared" si="120"/>
        <v>310170439.5</v>
      </c>
      <c r="BB123" s="1026">
        <f t="shared" si="115"/>
        <v>0.92588190895522393</v>
      </c>
      <c r="BC123" s="1029">
        <f t="shared" si="121"/>
        <v>505817382.25</v>
      </c>
      <c r="BD123" s="973">
        <f t="shared" si="122"/>
        <v>1.5099026335820895</v>
      </c>
      <c r="BE123" s="1030"/>
      <c r="BF123" s="1030"/>
      <c r="BG123" s="953" t="s">
        <v>1109</v>
      </c>
      <c r="BH123" s="1370"/>
      <c r="BI123" s="908" t="s">
        <v>2103</v>
      </c>
    </row>
    <row r="124" spans="1:61" s="908" customFormat="1" ht="47.4" customHeight="1">
      <c r="A124" s="1139" t="s">
        <v>1906</v>
      </c>
      <c r="B124" s="1150" t="s">
        <v>2361</v>
      </c>
      <c r="C124" s="980" t="s">
        <v>2108</v>
      </c>
      <c r="D124" s="1033">
        <v>1</v>
      </c>
      <c r="E124" s="1033">
        <v>1</v>
      </c>
      <c r="F124" s="1033">
        <v>1</v>
      </c>
      <c r="G124" s="1033">
        <v>1</v>
      </c>
      <c r="H124" s="949">
        <v>0</v>
      </c>
      <c r="I124" s="949">
        <v>1</v>
      </c>
      <c r="J124" s="949">
        <v>1</v>
      </c>
      <c r="K124" s="949">
        <v>1</v>
      </c>
      <c r="L124" s="949">
        <v>1</v>
      </c>
      <c r="M124" s="949"/>
      <c r="N124" s="949"/>
      <c r="O124" s="951">
        <f t="shared" si="212"/>
        <v>1</v>
      </c>
      <c r="P124" s="973">
        <f t="shared" si="212"/>
        <v>1</v>
      </c>
      <c r="Q124" s="973">
        <f t="shared" si="212"/>
        <v>1</v>
      </c>
      <c r="R124" s="951">
        <f t="shared" si="213"/>
        <v>1</v>
      </c>
      <c r="S124" s="953" t="s">
        <v>2362</v>
      </c>
      <c r="T124" s="974">
        <v>45107</v>
      </c>
      <c r="U124" s="985" t="s">
        <v>2115</v>
      </c>
      <c r="V124" s="985"/>
      <c r="W124" s="952" t="s">
        <v>2116</v>
      </c>
      <c r="X124" s="976" t="s">
        <v>2363</v>
      </c>
      <c r="Y124" s="956">
        <f t="shared" si="214"/>
        <v>4</v>
      </c>
      <c r="Z124" s="956">
        <f t="shared" si="215"/>
        <v>4</v>
      </c>
      <c r="AA124" s="971">
        <f t="shared" si="216"/>
        <v>1</v>
      </c>
      <c r="AB124" s="1099">
        <v>0.3</v>
      </c>
      <c r="AC124" s="1099">
        <v>0.3</v>
      </c>
      <c r="AD124" s="1099">
        <v>0.3</v>
      </c>
      <c r="AE124" s="1099">
        <v>0.3</v>
      </c>
      <c r="AF124" s="1099">
        <v>0.3</v>
      </c>
      <c r="AG124" s="1137">
        <v>200000000</v>
      </c>
      <c r="AH124" s="1137">
        <v>200000000</v>
      </c>
      <c r="AI124" s="1152">
        <v>177670441</v>
      </c>
      <c r="AJ124" s="1152">
        <v>169812317</v>
      </c>
      <c r="AK124" s="1152">
        <v>200000000</v>
      </c>
      <c r="AL124" s="959">
        <f t="shared" si="117"/>
        <v>1</v>
      </c>
      <c r="AM124" s="1137">
        <v>0</v>
      </c>
      <c r="AN124" s="1152">
        <v>173058473</v>
      </c>
      <c r="AO124" s="1152">
        <v>22859255</v>
      </c>
      <c r="AP124" s="1152">
        <v>39666660</v>
      </c>
      <c r="AQ124" s="971">
        <f t="shared" si="118"/>
        <v>0.19833329999999999</v>
      </c>
      <c r="AR124" s="958">
        <f>+AJ124-AO124</f>
        <v>146953062</v>
      </c>
      <c r="AS124" s="1152">
        <v>200000000</v>
      </c>
      <c r="AT124" s="1152">
        <v>200000000</v>
      </c>
      <c r="AU124" s="1152">
        <v>4611968</v>
      </c>
      <c r="AV124" s="1152">
        <v>4542860</v>
      </c>
      <c r="AW124" s="1152">
        <v>146953062</v>
      </c>
      <c r="AX124" s="1152">
        <v>145466332</v>
      </c>
      <c r="AY124" s="999">
        <f t="shared" si="109"/>
        <v>9.1990182552303679E-2</v>
      </c>
      <c r="AZ124" s="1084">
        <v>750000000</v>
      </c>
      <c r="BA124" s="1000">
        <f t="shared" si="120"/>
        <v>747482758</v>
      </c>
      <c r="BB124" s="973">
        <f t="shared" si="115"/>
        <v>0.99664367733333337</v>
      </c>
      <c r="BC124" s="1029">
        <f t="shared" si="121"/>
        <v>585593580</v>
      </c>
      <c r="BD124" s="973">
        <f t="shared" si="122"/>
        <v>0.78079144</v>
      </c>
      <c r="BE124" s="1030"/>
      <c r="BF124" s="1030"/>
      <c r="BG124" s="953" t="s">
        <v>1109</v>
      </c>
      <c r="BH124" s="1138" t="s">
        <v>2150</v>
      </c>
      <c r="BI124" s="908" t="s">
        <v>2103</v>
      </c>
    </row>
    <row r="125" spans="1:61" s="908" customFormat="1" ht="47.4" customHeight="1">
      <c r="A125" s="936" t="s">
        <v>2364</v>
      </c>
      <c r="B125" s="937"/>
      <c r="C125" s="937"/>
      <c r="D125" s="938"/>
      <c r="E125" s="938"/>
      <c r="F125" s="938"/>
      <c r="G125" s="938"/>
      <c r="H125" s="938"/>
      <c r="I125" s="938"/>
      <c r="J125" s="938"/>
      <c r="K125" s="938"/>
      <c r="L125" s="938"/>
      <c r="M125" s="938"/>
      <c r="N125" s="938"/>
      <c r="O125" s="939">
        <f>+SUMPRODUCT(O126:O131,AC126:AC131)</f>
        <v>1</v>
      </c>
      <c r="P125" s="939">
        <f t="shared" ref="P125:R125" si="218">+SUMPRODUCT(P126:P131,AD126:AD131)</f>
        <v>1</v>
      </c>
      <c r="Q125" s="939">
        <f t="shared" si="218"/>
        <v>1</v>
      </c>
      <c r="R125" s="939">
        <f t="shared" si="218"/>
        <v>1</v>
      </c>
      <c r="S125" s="937"/>
      <c r="T125" s="937"/>
      <c r="U125" s="937"/>
      <c r="V125" s="937"/>
      <c r="W125" s="937"/>
      <c r="X125" s="937"/>
      <c r="Y125" s="940"/>
      <c r="Z125" s="940"/>
      <c r="AA125" s="939">
        <f>+SUMPRODUCT(AA126:AA131,AB126:AB131)</f>
        <v>1</v>
      </c>
      <c r="AB125" s="939">
        <v>0.25</v>
      </c>
      <c r="AC125" s="939">
        <v>0.25</v>
      </c>
      <c r="AD125" s="939">
        <v>0.25</v>
      </c>
      <c r="AE125" s="939">
        <v>0.25</v>
      </c>
      <c r="AF125" s="939">
        <v>0.25</v>
      </c>
      <c r="AG125" s="937">
        <f>SUM(AG126:AG131)</f>
        <v>750000000</v>
      </c>
      <c r="AH125" s="937">
        <f>SUM(AH126:AH131)</f>
        <v>100000000</v>
      </c>
      <c r="AI125" s="937">
        <f>SUM(AI126:AI131)</f>
        <v>373611664.68000001</v>
      </c>
      <c r="AJ125" s="937">
        <f>SUM(AJ126:AJ131)</f>
        <v>300265020.15999997</v>
      </c>
      <c r="AK125" s="937">
        <f>SUM(AK126:AK131)</f>
        <v>750000000</v>
      </c>
      <c r="AL125" s="943">
        <f t="shared" si="117"/>
        <v>1</v>
      </c>
      <c r="AM125" s="937">
        <f>SUM(AM126:AM131)</f>
        <v>12000000</v>
      </c>
      <c r="AN125" s="937">
        <f>SUM(AN126:AN131)</f>
        <v>272088917</v>
      </c>
      <c r="AO125" s="937">
        <f>SUM(AO126:AO131)</f>
        <v>243026892</v>
      </c>
      <c r="AP125" s="937">
        <f>SUM(AP126:AP131)</f>
        <v>343501757</v>
      </c>
      <c r="AQ125" s="944">
        <f t="shared" si="118"/>
        <v>0.45800234266666667</v>
      </c>
      <c r="AR125" s="945">
        <f t="shared" ref="AR125:AX125" si="219">SUM(AR126:AR131)</f>
        <v>57238128.159999996</v>
      </c>
      <c r="AS125" s="937">
        <f t="shared" si="219"/>
        <v>88000000</v>
      </c>
      <c r="AT125" s="937">
        <f t="shared" si="219"/>
        <v>0</v>
      </c>
      <c r="AU125" s="937">
        <f t="shared" si="219"/>
        <v>101522747.68000001</v>
      </c>
      <c r="AV125" s="937">
        <f t="shared" si="219"/>
        <v>93667119.200000003</v>
      </c>
      <c r="AW125" s="942">
        <f t="shared" si="219"/>
        <v>57238128.159999996</v>
      </c>
      <c r="AX125" s="937">
        <f t="shared" si="219"/>
        <v>54214398.159999996</v>
      </c>
      <c r="AY125" s="946">
        <f t="shared" si="109"/>
        <v>0.23617542073025052</v>
      </c>
      <c r="AZ125" s="937">
        <f t="shared" ref="AZ125" si="220">SUM(AZ126:AZ131)</f>
        <v>1740000000</v>
      </c>
      <c r="BA125" s="937">
        <f t="shared" si="120"/>
        <v>1523876684.8399999</v>
      </c>
      <c r="BB125" s="939">
        <f>+BA125/AZ125</f>
        <v>0.87579119818390805</v>
      </c>
      <c r="BC125" s="1005">
        <f t="shared" si="121"/>
        <v>1018499083.36</v>
      </c>
      <c r="BD125" s="939">
        <f t="shared" si="122"/>
        <v>0.58534430078160915</v>
      </c>
      <c r="BE125" s="945"/>
      <c r="BF125" s="945"/>
      <c r="BG125" s="945"/>
      <c r="BH125" s="945"/>
    </row>
    <row r="126" spans="1:61" s="908" customFormat="1" ht="47.4" customHeight="1">
      <c r="A126" s="1156" t="s">
        <v>1907</v>
      </c>
      <c r="B126" s="1150" t="s">
        <v>2365</v>
      </c>
      <c r="C126" s="980" t="s">
        <v>2108</v>
      </c>
      <c r="D126" s="1033">
        <v>1</v>
      </c>
      <c r="E126" s="1033">
        <v>1</v>
      </c>
      <c r="F126" s="1033">
        <v>1</v>
      </c>
      <c r="G126" s="1033">
        <v>1</v>
      </c>
      <c r="H126" s="949">
        <v>1</v>
      </c>
      <c r="I126" s="949">
        <v>1</v>
      </c>
      <c r="J126" s="949">
        <v>1</v>
      </c>
      <c r="K126" s="949">
        <v>1</v>
      </c>
      <c r="L126" s="949"/>
      <c r="M126" s="949"/>
      <c r="N126" s="949"/>
      <c r="O126" s="951">
        <f t="shared" ref="O126:Q131" si="221">+IFERROR(IF((H126+L126)/D126&gt;=100%,100%,(H126+L126)/D126),0)</f>
        <v>1</v>
      </c>
      <c r="P126" s="973">
        <f t="shared" si="221"/>
        <v>1</v>
      </c>
      <c r="Q126" s="973">
        <f t="shared" si="221"/>
        <v>1</v>
      </c>
      <c r="R126" s="951">
        <f t="shared" ref="R126:R131" si="222">+IFERROR(IF(K126/G126&gt;=100%,100%,K126/G126),0)</f>
        <v>1</v>
      </c>
      <c r="S126" s="953" t="s">
        <v>2019</v>
      </c>
      <c r="T126" s="974">
        <v>45107</v>
      </c>
      <c r="U126" s="985" t="s">
        <v>2115</v>
      </c>
      <c r="V126" s="985"/>
      <c r="W126" s="952" t="s">
        <v>2116</v>
      </c>
      <c r="X126" s="976" t="s">
        <v>2344</v>
      </c>
      <c r="Y126" s="956">
        <f t="shared" ref="Y126:Y131" si="223">SUM(D126:G126)</f>
        <v>4</v>
      </c>
      <c r="Z126" s="956">
        <f t="shared" ref="Z126:Z131" si="224">SUM(H126:N126)</f>
        <v>4</v>
      </c>
      <c r="AA126" s="971">
        <f t="shared" ref="AA126:AA131" si="225">IF(Z126/Y126&gt;=100%,100%,Z126/Y126)</f>
        <v>1</v>
      </c>
      <c r="AB126" s="1158">
        <v>0.1</v>
      </c>
      <c r="AC126" s="1158">
        <v>0.25</v>
      </c>
      <c r="AD126" s="1158">
        <v>0.1</v>
      </c>
      <c r="AE126" s="1159">
        <v>0.13</v>
      </c>
      <c r="AF126" s="1159">
        <v>0.14000000000000001</v>
      </c>
      <c r="AG126" s="1148">
        <v>50000000</v>
      </c>
      <c r="AH126" s="1155">
        <v>50000000</v>
      </c>
      <c r="AI126" s="1155">
        <f>108446960/2</f>
        <v>54223480</v>
      </c>
      <c r="AJ126" s="1155">
        <v>49974158</v>
      </c>
      <c r="AK126" s="1155">
        <v>50000000</v>
      </c>
      <c r="AL126" s="959">
        <f t="shared" si="117"/>
        <v>1</v>
      </c>
      <c r="AM126" s="1155">
        <v>12000000</v>
      </c>
      <c r="AN126" s="1155">
        <f>100666859/2</f>
        <v>50333429.5</v>
      </c>
      <c r="AO126" s="1155">
        <v>46022601</v>
      </c>
      <c r="AP126" s="1155">
        <v>50000000</v>
      </c>
      <c r="AQ126" s="971">
        <f t="shared" si="118"/>
        <v>1</v>
      </c>
      <c r="AR126" s="958">
        <f t="shared" ref="AR126:AR131" si="226">+AJ126-AO126</f>
        <v>3951557</v>
      </c>
      <c r="AS126" s="1155">
        <f>88000000/2</f>
        <v>44000000</v>
      </c>
      <c r="AT126" s="1155">
        <v>0</v>
      </c>
      <c r="AU126" s="1155">
        <f>7780101/2</f>
        <v>3890050.5</v>
      </c>
      <c r="AV126" s="1155">
        <f>7734027/2</f>
        <v>3867013.5</v>
      </c>
      <c r="AW126" s="1155">
        <f>7903114/2</f>
        <v>3951557</v>
      </c>
      <c r="AX126" s="1155">
        <f>6938312/2</f>
        <v>3469156</v>
      </c>
      <c r="AY126" s="999">
        <f t="shared" si="109"/>
        <v>36.812408880853802</v>
      </c>
      <c r="AZ126" s="1084">
        <v>205000000</v>
      </c>
      <c r="BA126" s="1000">
        <f t="shared" si="120"/>
        <v>204197638</v>
      </c>
      <c r="BB126" s="971">
        <f t="shared" si="115"/>
        <v>0.99608603902439019</v>
      </c>
      <c r="BC126" s="1001">
        <f t="shared" si="121"/>
        <v>165692200</v>
      </c>
      <c r="BD126" s="951">
        <f t="shared" si="122"/>
        <v>0.80825463414634147</v>
      </c>
      <c r="BE126" s="969"/>
      <c r="BF126" s="969"/>
      <c r="BG126" s="953" t="s">
        <v>1109</v>
      </c>
      <c r="BH126" s="1378" t="s">
        <v>2150</v>
      </c>
    </row>
    <row r="127" spans="1:61" s="908" customFormat="1" ht="47.4" customHeight="1">
      <c r="A127" s="1156" t="s">
        <v>1908</v>
      </c>
      <c r="B127" s="1150" t="s">
        <v>2366</v>
      </c>
      <c r="C127" s="980" t="s">
        <v>2108</v>
      </c>
      <c r="D127" s="1033">
        <v>1</v>
      </c>
      <c r="E127" s="1033">
        <v>1</v>
      </c>
      <c r="F127" s="1033">
        <v>1</v>
      </c>
      <c r="G127" s="1033">
        <v>1</v>
      </c>
      <c r="H127" s="949">
        <v>1</v>
      </c>
      <c r="I127" s="949">
        <v>1</v>
      </c>
      <c r="J127" s="949">
        <v>1</v>
      </c>
      <c r="K127" s="949">
        <v>1</v>
      </c>
      <c r="L127" s="949"/>
      <c r="M127" s="949"/>
      <c r="N127" s="949"/>
      <c r="O127" s="951">
        <f t="shared" si="221"/>
        <v>1</v>
      </c>
      <c r="P127" s="973">
        <f t="shared" si="221"/>
        <v>1</v>
      </c>
      <c r="Q127" s="973">
        <f t="shared" si="221"/>
        <v>1</v>
      </c>
      <c r="R127" s="951">
        <f t="shared" si="222"/>
        <v>1</v>
      </c>
      <c r="S127" s="953" t="s">
        <v>2367</v>
      </c>
      <c r="T127" s="974">
        <v>45107</v>
      </c>
      <c r="U127" s="985" t="s">
        <v>2115</v>
      </c>
      <c r="V127" s="985"/>
      <c r="W127" s="952" t="s">
        <v>2116</v>
      </c>
      <c r="X127" s="976" t="s">
        <v>2344</v>
      </c>
      <c r="Y127" s="956">
        <f t="shared" si="223"/>
        <v>4</v>
      </c>
      <c r="Z127" s="956">
        <f t="shared" si="224"/>
        <v>4</v>
      </c>
      <c r="AA127" s="971">
        <f t="shared" si="225"/>
        <v>1</v>
      </c>
      <c r="AB127" s="1158">
        <v>0.1</v>
      </c>
      <c r="AC127" s="1158">
        <v>0.25</v>
      </c>
      <c r="AD127" s="1158">
        <v>0.1</v>
      </c>
      <c r="AE127" s="1159">
        <v>0.13</v>
      </c>
      <c r="AF127" s="1159">
        <v>0.14000000000000001</v>
      </c>
      <c r="AG127" s="1148">
        <v>50000000</v>
      </c>
      <c r="AH127" s="1155">
        <v>50000000</v>
      </c>
      <c r="AI127" s="1155">
        <f>108446960/2</f>
        <v>54223480</v>
      </c>
      <c r="AJ127" s="1155">
        <v>49974158</v>
      </c>
      <c r="AK127" s="1155">
        <v>50000000</v>
      </c>
      <c r="AL127" s="1025">
        <f t="shared" si="117"/>
        <v>1</v>
      </c>
      <c r="AM127" s="1155">
        <v>0</v>
      </c>
      <c r="AN127" s="1155">
        <f>100666859/2</f>
        <v>50333429.5</v>
      </c>
      <c r="AO127" s="1155">
        <v>46022601</v>
      </c>
      <c r="AP127" s="1155">
        <v>49666677</v>
      </c>
      <c r="AQ127" s="1026">
        <f t="shared" si="118"/>
        <v>0.99333353999999996</v>
      </c>
      <c r="AR127" s="958">
        <f t="shared" si="226"/>
        <v>3951557</v>
      </c>
      <c r="AS127" s="1155">
        <f>88000000/2</f>
        <v>44000000</v>
      </c>
      <c r="AT127" s="1155">
        <v>0</v>
      </c>
      <c r="AU127" s="1155">
        <f>7780101/2</f>
        <v>3890050.5</v>
      </c>
      <c r="AV127" s="1155">
        <f>7734027/2</f>
        <v>3867013.5</v>
      </c>
      <c r="AW127" s="1155">
        <f>7903114/2</f>
        <v>3951557</v>
      </c>
      <c r="AX127" s="1155">
        <f>6938312/2</f>
        <v>3469156</v>
      </c>
      <c r="AY127" s="1027">
        <f t="shared" si="109"/>
        <v>13.719756075896159</v>
      </c>
      <c r="AZ127" s="1071">
        <v>205000000</v>
      </c>
      <c r="BA127" s="1000">
        <f t="shared" si="120"/>
        <v>204197638</v>
      </c>
      <c r="BB127" s="1026">
        <f t="shared" si="115"/>
        <v>0.99608603902439019</v>
      </c>
      <c r="BC127" s="1029">
        <f t="shared" si="121"/>
        <v>153358877</v>
      </c>
      <c r="BD127" s="973">
        <f t="shared" si="122"/>
        <v>0.74809208292682927</v>
      </c>
      <c r="BE127" s="1030"/>
      <c r="BF127" s="1030"/>
      <c r="BG127" s="953" t="s">
        <v>1109</v>
      </c>
      <c r="BH127" s="1370"/>
    </row>
    <row r="128" spans="1:61" s="908" customFormat="1" ht="48.75" hidden="1" customHeight="1">
      <c r="A128" s="1145" t="s">
        <v>1909</v>
      </c>
      <c r="B128" s="1150" t="s">
        <v>2368</v>
      </c>
      <c r="C128" s="980" t="s">
        <v>2108</v>
      </c>
      <c r="D128" s="1157">
        <v>0</v>
      </c>
      <c r="E128" s="1157">
        <v>2</v>
      </c>
      <c r="F128" s="1157">
        <v>2</v>
      </c>
      <c r="G128" s="1157">
        <v>0</v>
      </c>
      <c r="H128" s="949">
        <v>0</v>
      </c>
      <c r="I128" s="949">
        <v>2</v>
      </c>
      <c r="J128" s="949">
        <v>4</v>
      </c>
      <c r="K128" s="949"/>
      <c r="L128" s="949"/>
      <c r="M128" s="949"/>
      <c r="N128" s="949"/>
      <c r="O128" s="951">
        <f t="shared" si="221"/>
        <v>0</v>
      </c>
      <c r="P128" s="973">
        <f t="shared" si="221"/>
        <v>1</v>
      </c>
      <c r="Q128" s="973">
        <f t="shared" si="221"/>
        <v>1</v>
      </c>
      <c r="R128" s="951">
        <f t="shared" si="222"/>
        <v>0</v>
      </c>
      <c r="S128" s="953"/>
      <c r="T128" s="953"/>
      <c r="U128" s="954"/>
      <c r="V128" s="912"/>
      <c r="W128" s="953"/>
      <c r="X128" s="953"/>
      <c r="Y128" s="956">
        <f t="shared" si="223"/>
        <v>4</v>
      </c>
      <c r="Z128" s="956">
        <f t="shared" si="224"/>
        <v>6</v>
      </c>
      <c r="AA128" s="971">
        <f t="shared" si="225"/>
        <v>1</v>
      </c>
      <c r="AB128" s="1158">
        <v>0.2</v>
      </c>
      <c r="AC128" s="1158">
        <v>0</v>
      </c>
      <c r="AD128" s="1158">
        <v>0.2</v>
      </c>
      <c r="AE128" s="1159">
        <v>0.23</v>
      </c>
      <c r="AF128" s="1159">
        <v>0</v>
      </c>
      <c r="AG128" s="1148">
        <v>0</v>
      </c>
      <c r="AH128" s="1148">
        <v>0</v>
      </c>
      <c r="AI128" s="1155">
        <v>39151208.200000003</v>
      </c>
      <c r="AJ128" s="1155">
        <v>71208584</v>
      </c>
      <c r="AK128" s="1155"/>
      <c r="AL128" s="1025" t="e">
        <f t="shared" si="117"/>
        <v>#DIV/0!</v>
      </c>
      <c r="AM128" s="1148">
        <v>0</v>
      </c>
      <c r="AN128" s="1155">
        <v>16285692</v>
      </c>
      <c r="AO128" s="1155">
        <v>65623970</v>
      </c>
      <c r="AP128" s="1155"/>
      <c r="AQ128" s="1026" t="e">
        <f t="shared" si="118"/>
        <v>#DIV/0!</v>
      </c>
      <c r="AR128" s="958">
        <f t="shared" si="226"/>
        <v>5584614</v>
      </c>
      <c r="AS128" s="1148">
        <v>0</v>
      </c>
      <c r="AT128" s="1148">
        <v>0</v>
      </c>
      <c r="AU128" s="1148">
        <v>22865516.199999999</v>
      </c>
      <c r="AV128" s="1148">
        <v>20740179.199999999</v>
      </c>
      <c r="AW128" s="1148">
        <v>5584614</v>
      </c>
      <c r="AX128" s="1148">
        <v>4795422</v>
      </c>
      <c r="AY128" s="1027">
        <f t="shared" si="109"/>
        <v>0.62119888679862212</v>
      </c>
      <c r="AZ128" s="1071">
        <v>120000000</v>
      </c>
      <c r="BA128" s="1000">
        <f t="shared" si="120"/>
        <v>110359792.2</v>
      </c>
      <c r="BB128" s="973">
        <f t="shared" si="115"/>
        <v>0.91966493500000002</v>
      </c>
      <c r="BC128" s="1029">
        <f t="shared" si="121"/>
        <v>107445263.2</v>
      </c>
      <c r="BD128" s="973">
        <f t="shared" si="122"/>
        <v>0.89537719333333332</v>
      </c>
      <c r="BE128" s="1030"/>
      <c r="BF128" s="1030"/>
      <c r="BG128" s="953" t="s">
        <v>1109</v>
      </c>
      <c r="BH128" s="1160" t="s">
        <v>2369</v>
      </c>
    </row>
    <row r="129" spans="1:61" s="908" customFormat="1" ht="47.4" customHeight="1">
      <c r="A129" s="1145" t="s">
        <v>1910</v>
      </c>
      <c r="B129" s="1150" t="s">
        <v>2370</v>
      </c>
      <c r="C129" s="980" t="s">
        <v>2108</v>
      </c>
      <c r="D129" s="1033">
        <v>1</v>
      </c>
      <c r="E129" s="1033">
        <v>1</v>
      </c>
      <c r="F129" s="1033">
        <v>1</v>
      </c>
      <c r="G129" s="1033">
        <v>1</v>
      </c>
      <c r="H129" s="949">
        <v>1</v>
      </c>
      <c r="I129" s="949">
        <v>1</v>
      </c>
      <c r="J129" s="949">
        <v>1</v>
      </c>
      <c r="K129" s="949">
        <v>1</v>
      </c>
      <c r="L129" s="949"/>
      <c r="M129" s="949"/>
      <c r="N129" s="949"/>
      <c r="O129" s="951">
        <f t="shared" si="221"/>
        <v>1</v>
      </c>
      <c r="P129" s="973">
        <f t="shared" si="221"/>
        <v>1</v>
      </c>
      <c r="Q129" s="973">
        <f t="shared" si="221"/>
        <v>1</v>
      </c>
      <c r="R129" s="951">
        <f t="shared" si="222"/>
        <v>1</v>
      </c>
      <c r="S129" s="953" t="s">
        <v>2371</v>
      </c>
      <c r="T129" s="974">
        <v>45107</v>
      </c>
      <c r="U129" s="985" t="s">
        <v>2115</v>
      </c>
      <c r="V129" s="985"/>
      <c r="W129" s="952" t="s">
        <v>2116</v>
      </c>
      <c r="X129" s="976" t="s">
        <v>2344</v>
      </c>
      <c r="Y129" s="956">
        <f t="shared" si="223"/>
        <v>4</v>
      </c>
      <c r="Z129" s="956">
        <f t="shared" si="224"/>
        <v>4</v>
      </c>
      <c r="AA129" s="971">
        <f t="shared" si="225"/>
        <v>1</v>
      </c>
      <c r="AB129" s="1158">
        <v>0.3</v>
      </c>
      <c r="AC129" s="1158">
        <v>0.5</v>
      </c>
      <c r="AD129" s="1158">
        <v>0.3</v>
      </c>
      <c r="AE129" s="1159">
        <v>0.33</v>
      </c>
      <c r="AF129" s="1159">
        <v>0.34</v>
      </c>
      <c r="AG129" s="1148">
        <v>200000000</v>
      </c>
      <c r="AH129" s="1148">
        <v>0</v>
      </c>
      <c r="AI129" s="1155">
        <v>49171138</v>
      </c>
      <c r="AJ129" s="1155">
        <v>79123194.159999996</v>
      </c>
      <c r="AK129" s="1155">
        <v>200000000</v>
      </c>
      <c r="AL129" s="1025">
        <f t="shared" si="117"/>
        <v>1</v>
      </c>
      <c r="AM129" s="1148">
        <v>0</v>
      </c>
      <c r="AN129" s="1155">
        <v>31442882</v>
      </c>
      <c r="AO129" s="1155">
        <v>35908271</v>
      </c>
      <c r="AP129" s="1155">
        <v>199585080</v>
      </c>
      <c r="AQ129" s="1026">
        <f t="shared" si="118"/>
        <v>0.99792539999999996</v>
      </c>
      <c r="AR129" s="958">
        <f t="shared" si="226"/>
        <v>43214923.159999996</v>
      </c>
      <c r="AS129" s="1148">
        <v>0</v>
      </c>
      <c r="AT129" s="1148">
        <v>0</v>
      </c>
      <c r="AU129" s="1148">
        <v>17728256</v>
      </c>
      <c r="AV129" s="1148">
        <v>16165483</v>
      </c>
      <c r="AW129" s="1148">
        <v>43214923.159999996</v>
      </c>
      <c r="AX129" s="1148">
        <v>42226589.159999996</v>
      </c>
      <c r="AY129" s="1027">
        <f t="shared" si="109"/>
        <v>8.0276805934739515E-2</v>
      </c>
      <c r="AZ129" s="1071">
        <v>530000000</v>
      </c>
      <c r="BA129" s="1000">
        <f t="shared" si="120"/>
        <v>328294332.15999997</v>
      </c>
      <c r="BB129" s="973">
        <f t="shared" si="115"/>
        <v>0.61942326822641502</v>
      </c>
      <c r="BC129" s="1029">
        <f t="shared" si="121"/>
        <v>325328305.15999997</v>
      </c>
      <c r="BD129" s="973">
        <f t="shared" si="122"/>
        <v>0.61382699086792447</v>
      </c>
      <c r="BE129" s="1030"/>
      <c r="BF129" s="1030"/>
      <c r="BG129" s="953" t="s">
        <v>1109</v>
      </c>
      <c r="BH129" s="1149" t="s">
        <v>2150</v>
      </c>
    </row>
    <row r="130" spans="1:61" s="908" customFormat="1" ht="47.4" customHeight="1">
      <c r="A130" s="1156" t="s">
        <v>1911</v>
      </c>
      <c r="B130" s="1150" t="s">
        <v>2372</v>
      </c>
      <c r="C130" s="980" t="s">
        <v>2108</v>
      </c>
      <c r="D130" s="1033">
        <v>0</v>
      </c>
      <c r="E130" s="1033">
        <v>1</v>
      </c>
      <c r="F130" s="1033">
        <v>0</v>
      </c>
      <c r="G130" s="1033">
        <v>1</v>
      </c>
      <c r="H130" s="949">
        <v>0</v>
      </c>
      <c r="I130" s="949">
        <v>1</v>
      </c>
      <c r="J130" s="949">
        <v>0</v>
      </c>
      <c r="K130" s="949">
        <v>1</v>
      </c>
      <c r="L130" s="949"/>
      <c r="M130" s="949"/>
      <c r="N130" s="949"/>
      <c r="O130" s="951">
        <f t="shared" si="221"/>
        <v>0</v>
      </c>
      <c r="P130" s="973">
        <f t="shared" si="221"/>
        <v>1</v>
      </c>
      <c r="Q130" s="951">
        <f t="shared" si="221"/>
        <v>0</v>
      </c>
      <c r="R130" s="951">
        <f t="shared" si="222"/>
        <v>1</v>
      </c>
      <c r="S130" s="953" t="s">
        <v>2022</v>
      </c>
      <c r="T130" s="974">
        <v>45107</v>
      </c>
      <c r="U130" s="985" t="s">
        <v>2115</v>
      </c>
      <c r="V130" s="985"/>
      <c r="W130" s="952" t="s">
        <v>2116</v>
      </c>
      <c r="X130" s="976" t="s">
        <v>2233</v>
      </c>
      <c r="Y130" s="956">
        <f t="shared" si="223"/>
        <v>2</v>
      </c>
      <c r="Z130" s="956">
        <f t="shared" si="224"/>
        <v>2</v>
      </c>
      <c r="AA130" s="971">
        <f t="shared" si="225"/>
        <v>1</v>
      </c>
      <c r="AB130" s="1158">
        <v>0.15</v>
      </c>
      <c r="AC130" s="1158">
        <v>0</v>
      </c>
      <c r="AD130" s="1158">
        <v>0.15</v>
      </c>
      <c r="AE130" s="1158">
        <v>0</v>
      </c>
      <c r="AF130" s="1158">
        <v>0.19</v>
      </c>
      <c r="AG130" s="1148">
        <v>225000000</v>
      </c>
      <c r="AH130" s="1148">
        <v>0</v>
      </c>
      <c r="AI130" s="1155">
        <f>176842358.48/2</f>
        <v>88421179.239999995</v>
      </c>
      <c r="AJ130" s="1155">
        <v>0</v>
      </c>
      <c r="AK130" s="1155">
        <v>225000000</v>
      </c>
      <c r="AL130" s="1025">
        <f t="shared" si="117"/>
        <v>1</v>
      </c>
      <c r="AM130" s="1148">
        <v>0</v>
      </c>
      <c r="AN130" s="1155">
        <f>123693484/2</f>
        <v>61846742</v>
      </c>
      <c r="AO130" s="1155">
        <v>0</v>
      </c>
      <c r="AP130" s="1155">
        <v>22125000</v>
      </c>
      <c r="AQ130" s="1026">
        <f t="shared" si="118"/>
        <v>9.8333333333333328E-2</v>
      </c>
      <c r="AR130" s="958">
        <f t="shared" si="226"/>
        <v>0</v>
      </c>
      <c r="AS130" s="1148">
        <v>0</v>
      </c>
      <c r="AT130" s="1148">
        <v>0</v>
      </c>
      <c r="AU130" s="1148"/>
      <c r="AV130" s="1148"/>
      <c r="AW130" s="1148"/>
      <c r="AX130" s="1148"/>
      <c r="AY130" s="1027" t="e">
        <f t="shared" si="109"/>
        <v>#DIV/0!</v>
      </c>
      <c r="AZ130" s="1071">
        <v>315000000</v>
      </c>
      <c r="BA130" s="1000">
        <f t="shared" si="120"/>
        <v>313421179.24000001</v>
      </c>
      <c r="BB130" s="973">
        <f>+BA130/AZ130</f>
        <v>0.99498787060317462</v>
      </c>
      <c r="BC130" s="1029">
        <f t="shared" si="121"/>
        <v>83971742</v>
      </c>
      <c r="BD130" s="973">
        <f t="shared" si="122"/>
        <v>0.26657695873015874</v>
      </c>
      <c r="BE130" s="1030"/>
      <c r="BF130" s="1030"/>
      <c r="BG130" s="953" t="s">
        <v>1109</v>
      </c>
      <c r="BH130" s="1378" t="s">
        <v>2373</v>
      </c>
    </row>
    <row r="131" spans="1:61" s="908" customFormat="1" ht="47.4" customHeight="1">
      <c r="A131" s="1156" t="s">
        <v>1912</v>
      </c>
      <c r="B131" s="1150" t="s">
        <v>2374</v>
      </c>
      <c r="C131" s="980" t="s">
        <v>2108</v>
      </c>
      <c r="D131" s="1033">
        <v>0</v>
      </c>
      <c r="E131" s="1033">
        <v>1</v>
      </c>
      <c r="F131" s="1033">
        <v>1</v>
      </c>
      <c r="G131" s="1033">
        <v>1</v>
      </c>
      <c r="H131" s="949">
        <v>0</v>
      </c>
      <c r="I131" s="949">
        <v>1</v>
      </c>
      <c r="J131" s="949">
        <v>1</v>
      </c>
      <c r="K131" s="949">
        <v>1</v>
      </c>
      <c r="L131" s="949"/>
      <c r="M131" s="949"/>
      <c r="N131" s="949"/>
      <c r="O131" s="951">
        <f t="shared" si="221"/>
        <v>0</v>
      </c>
      <c r="P131" s="973">
        <f t="shared" si="221"/>
        <v>1</v>
      </c>
      <c r="Q131" s="973">
        <f t="shared" si="221"/>
        <v>1</v>
      </c>
      <c r="R131" s="951">
        <f t="shared" si="222"/>
        <v>1</v>
      </c>
      <c r="S131" s="953" t="s">
        <v>2023</v>
      </c>
      <c r="T131" s="974">
        <v>45107</v>
      </c>
      <c r="U131" s="985" t="s">
        <v>2115</v>
      </c>
      <c r="V131" s="985"/>
      <c r="W131" s="952" t="s">
        <v>2116</v>
      </c>
      <c r="X131" s="976" t="s">
        <v>2233</v>
      </c>
      <c r="Y131" s="956">
        <f t="shared" si="223"/>
        <v>3</v>
      </c>
      <c r="Z131" s="956">
        <f t="shared" si="224"/>
        <v>3</v>
      </c>
      <c r="AA131" s="971">
        <f t="shared" si="225"/>
        <v>1</v>
      </c>
      <c r="AB131" s="1158">
        <v>0.15</v>
      </c>
      <c r="AC131" s="1158">
        <v>0</v>
      </c>
      <c r="AD131" s="1158">
        <v>0.15</v>
      </c>
      <c r="AE131" s="1159">
        <v>0.18</v>
      </c>
      <c r="AF131" s="1159">
        <v>0.19</v>
      </c>
      <c r="AG131" s="1148">
        <v>225000000</v>
      </c>
      <c r="AH131" s="1148">
        <v>0</v>
      </c>
      <c r="AI131" s="1155">
        <f>176842358.48/2</f>
        <v>88421179.239999995</v>
      </c>
      <c r="AJ131" s="1155">
        <v>49984926</v>
      </c>
      <c r="AK131" s="1155">
        <v>225000000</v>
      </c>
      <c r="AL131" s="959">
        <f t="shared" si="117"/>
        <v>1</v>
      </c>
      <c r="AM131" s="1148">
        <v>0</v>
      </c>
      <c r="AN131" s="1155">
        <f>123693484/2</f>
        <v>61846742</v>
      </c>
      <c r="AO131" s="1155">
        <v>49449449</v>
      </c>
      <c r="AP131" s="1155">
        <v>22125000</v>
      </c>
      <c r="AQ131" s="971">
        <f t="shared" si="118"/>
        <v>9.8333333333333328E-2</v>
      </c>
      <c r="AR131" s="958">
        <f t="shared" si="226"/>
        <v>535477</v>
      </c>
      <c r="AS131" s="1148">
        <v>0</v>
      </c>
      <c r="AT131" s="1148">
        <v>0</v>
      </c>
      <c r="AU131" s="1148">
        <v>53148874.479999997</v>
      </c>
      <c r="AV131" s="1148">
        <v>49027430</v>
      </c>
      <c r="AW131" s="1148">
        <v>535477</v>
      </c>
      <c r="AX131" s="1148">
        <v>254075</v>
      </c>
      <c r="AY131" s="999">
        <f t="shared" si="109"/>
        <v>78.857895222390496</v>
      </c>
      <c r="AZ131" s="1084">
        <v>365000000</v>
      </c>
      <c r="BA131" s="1000">
        <f t="shared" si="120"/>
        <v>363406105.24000001</v>
      </c>
      <c r="BB131" s="971">
        <f>+BA131/AZ131</f>
        <v>0.99563316504109589</v>
      </c>
      <c r="BC131" s="1001">
        <f t="shared" si="121"/>
        <v>182702696</v>
      </c>
      <c r="BD131" s="951">
        <f t="shared" si="122"/>
        <v>0.50055533150684928</v>
      </c>
      <c r="BE131" s="969"/>
      <c r="BF131" s="969"/>
      <c r="BG131" s="953" t="s">
        <v>1109</v>
      </c>
      <c r="BH131" s="1370"/>
    </row>
    <row r="132" spans="1:61" s="908" customFormat="1" ht="56.25" hidden="1" customHeight="1">
      <c r="A132" s="936" t="s">
        <v>2375</v>
      </c>
      <c r="B132" s="937"/>
      <c r="C132" s="937"/>
      <c r="D132" s="938"/>
      <c r="E132" s="938"/>
      <c r="F132" s="938"/>
      <c r="G132" s="938"/>
      <c r="H132" s="938"/>
      <c r="I132" s="938"/>
      <c r="J132" s="938"/>
      <c r="K132" s="938"/>
      <c r="L132" s="938"/>
      <c r="M132" s="938"/>
      <c r="N132" s="938"/>
      <c r="O132" s="939">
        <f>+O133*AC133</f>
        <v>1</v>
      </c>
      <c r="P132" s="939">
        <f t="shared" ref="P132:R132" si="227">+P133*AD133</f>
        <v>1</v>
      </c>
      <c r="Q132" s="939">
        <f t="shared" si="227"/>
        <v>1</v>
      </c>
      <c r="R132" s="939">
        <f t="shared" si="227"/>
        <v>1</v>
      </c>
      <c r="S132" s="937"/>
      <c r="T132" s="937"/>
      <c r="U132" s="937"/>
      <c r="V132" s="937"/>
      <c r="W132" s="937"/>
      <c r="X132" s="937"/>
      <c r="Y132" s="940"/>
      <c r="Z132" s="940"/>
      <c r="AA132" s="939">
        <f>+SUMPRODUCT(AA133:AA133,AB133:AB133)</f>
        <v>1</v>
      </c>
      <c r="AB132" s="939">
        <v>0.25</v>
      </c>
      <c r="AC132" s="939">
        <v>0.25</v>
      </c>
      <c r="AD132" s="939">
        <v>0.25</v>
      </c>
      <c r="AE132" s="939">
        <v>0.25</v>
      </c>
      <c r="AF132" s="939">
        <v>0.25</v>
      </c>
      <c r="AG132" s="937">
        <f>SUM(AG133)</f>
        <v>100000000</v>
      </c>
      <c r="AH132" s="937">
        <f>SUM(AH133)</f>
        <v>0</v>
      </c>
      <c r="AI132" s="937">
        <f>SUM(AI133)</f>
        <v>98769142</v>
      </c>
      <c r="AJ132" s="937">
        <f>SUM(AJ133)</f>
        <v>99889401</v>
      </c>
      <c r="AK132" s="937">
        <f>SUM(AK133)</f>
        <v>100000000</v>
      </c>
      <c r="AL132" s="943">
        <f t="shared" si="117"/>
        <v>1</v>
      </c>
      <c r="AM132" s="937">
        <f>SUM(AM133)</f>
        <v>0</v>
      </c>
      <c r="AN132" s="937">
        <f>SUM(AN133)</f>
        <v>96091876</v>
      </c>
      <c r="AO132" s="937">
        <f>SUM(AO133)</f>
        <v>6957167</v>
      </c>
      <c r="AP132" s="937">
        <f>SUM(AP133)</f>
        <v>9833330</v>
      </c>
      <c r="AQ132" s="944">
        <f t="shared" si="118"/>
        <v>9.8333299999999998E-2</v>
      </c>
      <c r="AR132" s="945">
        <f t="shared" ref="AR132:AX132" si="228">SUM(AR133)</f>
        <v>92932234</v>
      </c>
      <c r="AS132" s="937">
        <f t="shared" si="228"/>
        <v>0</v>
      </c>
      <c r="AT132" s="937">
        <f t="shared" si="228"/>
        <v>0</v>
      </c>
      <c r="AU132" s="937">
        <f t="shared" si="228"/>
        <v>2677266</v>
      </c>
      <c r="AV132" s="937">
        <f t="shared" si="228"/>
        <v>2561567</v>
      </c>
      <c r="AW132" s="937">
        <f t="shared" si="228"/>
        <v>92932234</v>
      </c>
      <c r="AX132" s="937">
        <f t="shared" si="228"/>
        <v>91911188</v>
      </c>
      <c r="AY132" s="946">
        <f t="shared" si="109"/>
        <v>0</v>
      </c>
      <c r="AZ132" s="937">
        <f t="shared" ref="AZ132" si="229">SUM(AZ133)</f>
        <v>400000000</v>
      </c>
      <c r="BA132" s="937">
        <f t="shared" si="120"/>
        <v>298658543</v>
      </c>
      <c r="BB132" s="939">
        <f t="shared" ref="BB132:BB135" si="230">+BA132/AZ132</f>
        <v>0.74664635749999997</v>
      </c>
      <c r="BC132" s="1005">
        <f t="shared" si="121"/>
        <v>207355128</v>
      </c>
      <c r="BD132" s="939">
        <f t="shared" si="122"/>
        <v>0.51838782000000005</v>
      </c>
      <c r="BE132" s="945"/>
      <c r="BF132" s="945"/>
      <c r="BG132" s="945"/>
      <c r="BH132" s="945"/>
    </row>
    <row r="133" spans="1:61" s="908" customFormat="1" ht="47.4" customHeight="1">
      <c r="A133" s="1134" t="s">
        <v>1913</v>
      </c>
      <c r="B133" s="1150" t="s">
        <v>2376</v>
      </c>
      <c r="C133" s="980" t="s">
        <v>2108</v>
      </c>
      <c r="D133" s="1046">
        <v>1</v>
      </c>
      <c r="E133" s="1046">
        <v>1</v>
      </c>
      <c r="F133" s="1046">
        <v>1</v>
      </c>
      <c r="G133" s="1046">
        <v>1</v>
      </c>
      <c r="H133" s="949">
        <v>0</v>
      </c>
      <c r="I133" s="949">
        <v>1</v>
      </c>
      <c r="J133" s="949">
        <v>1</v>
      </c>
      <c r="K133" s="949">
        <v>1</v>
      </c>
      <c r="L133" s="949">
        <v>1</v>
      </c>
      <c r="M133" s="949"/>
      <c r="N133" s="949"/>
      <c r="O133" s="951">
        <f>+IFERROR(IF((H133+L133)/D133&gt;=100%,100%,(H133+L133)/D133),0)</f>
        <v>1</v>
      </c>
      <c r="P133" s="973">
        <f>+IFERROR(IF((I133+M133)/E133&gt;=100%,100%,(I133+M133)/E133),0)</f>
        <v>1</v>
      </c>
      <c r="Q133" s="973">
        <f>+IFERROR(IF((J133+N133)/F133&gt;=100%,100%,(J133+N133)/F133),0)</f>
        <v>1</v>
      </c>
      <c r="R133" s="951">
        <f>+IFERROR(IF(K133/G133&gt;=100%,100%,K133/G133),0)</f>
        <v>1</v>
      </c>
      <c r="S133" s="952" t="s">
        <v>2377</v>
      </c>
      <c r="T133" s="974">
        <v>45107</v>
      </c>
      <c r="U133" s="985"/>
      <c r="V133" s="985"/>
      <c r="W133" s="952"/>
      <c r="X133" s="975"/>
      <c r="Y133" s="1035">
        <f t="shared" ref="Y133" si="231">SUM(D133:G133)</f>
        <v>4</v>
      </c>
      <c r="Z133" s="956">
        <f t="shared" ref="Z133" si="232">SUM(H133:N133)</f>
        <v>4</v>
      </c>
      <c r="AA133" s="1026">
        <f t="shared" ref="AA133" si="233">IF(Z133/Y133&gt;=100%,100%,Z133/Y133)</f>
        <v>1</v>
      </c>
      <c r="AB133" s="1092">
        <v>1</v>
      </c>
      <c r="AC133" s="1092">
        <v>1</v>
      </c>
      <c r="AD133" s="1092">
        <v>1</v>
      </c>
      <c r="AE133" s="1099">
        <v>1</v>
      </c>
      <c r="AF133" s="1099">
        <v>1</v>
      </c>
      <c r="AG133" s="1137">
        <v>100000000</v>
      </c>
      <c r="AH133" s="1137">
        <v>0</v>
      </c>
      <c r="AI133" s="1137">
        <v>98769142</v>
      </c>
      <c r="AJ133" s="1137">
        <v>99889401</v>
      </c>
      <c r="AK133" s="1137">
        <v>100000000</v>
      </c>
      <c r="AL133" s="1025">
        <f t="shared" si="117"/>
        <v>1</v>
      </c>
      <c r="AM133" s="1137">
        <v>0</v>
      </c>
      <c r="AN133" s="1137">
        <v>96091876</v>
      </c>
      <c r="AO133" s="1137">
        <v>6957167</v>
      </c>
      <c r="AP133" s="1137">
        <v>9833330</v>
      </c>
      <c r="AQ133" s="1026">
        <f t="shared" si="118"/>
        <v>9.8333299999999998E-2</v>
      </c>
      <c r="AR133" s="958">
        <f>+AJ133-AO133</f>
        <v>92932234</v>
      </c>
      <c r="AS133" s="1137">
        <v>0</v>
      </c>
      <c r="AT133" s="1137">
        <v>0</v>
      </c>
      <c r="AU133" s="1137">
        <v>2677266</v>
      </c>
      <c r="AV133" s="1137">
        <v>2561567</v>
      </c>
      <c r="AW133" s="1137">
        <v>92932234</v>
      </c>
      <c r="AX133" s="1137">
        <v>91911188</v>
      </c>
      <c r="AY133" s="1027">
        <f t="shared" si="109"/>
        <v>2.7339814084314383E-3</v>
      </c>
      <c r="AZ133" s="1071">
        <v>400000000</v>
      </c>
      <c r="BA133" s="1000">
        <f t="shared" si="120"/>
        <v>298658543</v>
      </c>
      <c r="BB133" s="973">
        <f t="shared" si="230"/>
        <v>0.74664635749999997</v>
      </c>
      <c r="BC133" s="1029">
        <f t="shared" si="121"/>
        <v>207355128</v>
      </c>
      <c r="BD133" s="973">
        <f t="shared" si="122"/>
        <v>0.51838782000000005</v>
      </c>
      <c r="BE133" s="1030"/>
      <c r="BF133" s="969"/>
      <c r="BG133" s="953" t="s">
        <v>1109</v>
      </c>
      <c r="BH133" s="1161" t="s">
        <v>2378</v>
      </c>
    </row>
    <row r="134" spans="1:61" s="935" customFormat="1" ht="69" hidden="1" customHeight="1">
      <c r="A134" s="925" t="s">
        <v>2379</v>
      </c>
      <c r="B134" s="926"/>
      <c r="C134" s="926"/>
      <c r="D134" s="927"/>
      <c r="E134" s="927"/>
      <c r="F134" s="1108"/>
      <c r="G134" s="1108"/>
      <c r="H134" s="927"/>
      <c r="I134" s="927"/>
      <c r="J134" s="1108"/>
      <c r="K134" s="1108"/>
      <c r="L134" s="927"/>
      <c r="M134" s="927"/>
      <c r="N134" s="927"/>
      <c r="O134" s="928">
        <f>+(O135*AC135)</f>
        <v>1</v>
      </c>
      <c r="P134" s="928">
        <f t="shared" ref="P134:R134" si="234">+(P135*AD135)</f>
        <v>1</v>
      </c>
      <c r="Q134" s="928">
        <f t="shared" si="234"/>
        <v>1</v>
      </c>
      <c r="R134" s="928">
        <f t="shared" si="234"/>
        <v>1</v>
      </c>
      <c r="S134" s="928"/>
      <c r="T134" s="928"/>
      <c r="U134" s="928"/>
      <c r="V134" s="928"/>
      <c r="W134" s="928"/>
      <c r="X134" s="928"/>
      <c r="Y134" s="928"/>
      <c r="Z134" s="928"/>
      <c r="AA134" s="928">
        <f>+(AA135*AB135)</f>
        <v>1</v>
      </c>
      <c r="AB134" s="928">
        <v>0.15</v>
      </c>
      <c r="AC134" s="928">
        <v>0.15</v>
      </c>
      <c r="AD134" s="928">
        <v>0.15</v>
      </c>
      <c r="AE134" s="928">
        <v>0.15</v>
      </c>
      <c r="AF134" s="928">
        <v>0.15</v>
      </c>
      <c r="AG134" s="926">
        <f>+AG135</f>
        <v>600000000</v>
      </c>
      <c r="AH134" s="926">
        <f>+AH135</f>
        <v>0</v>
      </c>
      <c r="AI134" s="926">
        <f>+AI135</f>
        <v>592541079</v>
      </c>
      <c r="AJ134" s="926">
        <f>+AJ135</f>
        <v>599332244</v>
      </c>
      <c r="AK134" s="926">
        <f>+AK135</f>
        <v>600000000</v>
      </c>
      <c r="AL134" s="931">
        <f t="shared" si="117"/>
        <v>1</v>
      </c>
      <c r="AM134" s="926">
        <f>+AM135</f>
        <v>0</v>
      </c>
      <c r="AN134" s="926">
        <f>+AN135</f>
        <v>415652749</v>
      </c>
      <c r="AO134" s="926">
        <f>+AO135</f>
        <v>363796006</v>
      </c>
      <c r="AP134" s="926">
        <f>+AP135</f>
        <v>311250000</v>
      </c>
      <c r="AQ134" s="933">
        <f t="shared" si="118"/>
        <v>0.51875000000000004</v>
      </c>
      <c r="AR134" s="926">
        <f t="shared" ref="AR134:AX134" si="235">+AR135</f>
        <v>235536238</v>
      </c>
      <c r="AS134" s="926">
        <f t="shared" si="235"/>
        <v>0</v>
      </c>
      <c r="AT134" s="926">
        <f t="shared" si="235"/>
        <v>0</v>
      </c>
      <c r="AU134" s="926">
        <f t="shared" si="235"/>
        <v>176888330</v>
      </c>
      <c r="AV134" s="926">
        <f t="shared" si="235"/>
        <v>176604108</v>
      </c>
      <c r="AW134" s="926">
        <f t="shared" si="235"/>
        <v>235536238</v>
      </c>
      <c r="AX134" s="926">
        <f t="shared" si="235"/>
        <v>234918632</v>
      </c>
      <c r="AY134" s="934">
        <f t="shared" si="109"/>
        <v>0.39022100709615648</v>
      </c>
      <c r="AZ134" s="926">
        <f t="shared" ref="AZ134" si="236">+AZ135</f>
        <v>2200000000</v>
      </c>
      <c r="BA134" s="926">
        <f t="shared" si="120"/>
        <v>1791873323</v>
      </c>
      <c r="BB134" s="928">
        <f t="shared" si="230"/>
        <v>0.81448787409090906</v>
      </c>
      <c r="BC134" s="1010">
        <f t="shared" si="121"/>
        <v>1502221495</v>
      </c>
      <c r="BD134" s="928">
        <f t="shared" si="122"/>
        <v>0.6828279522727273</v>
      </c>
      <c r="BE134" s="926"/>
      <c r="BF134" s="926" t="s">
        <v>1701</v>
      </c>
      <c r="BG134" s="926"/>
      <c r="BH134" s="926"/>
    </row>
    <row r="135" spans="1:61" s="908" customFormat="1" ht="52.5" hidden="1" customHeight="1">
      <c r="A135" s="936" t="s">
        <v>2380</v>
      </c>
      <c r="B135" s="937"/>
      <c r="C135" s="937"/>
      <c r="D135" s="938"/>
      <c r="E135" s="938"/>
      <c r="F135" s="938"/>
      <c r="G135" s="938"/>
      <c r="H135" s="938"/>
      <c r="I135" s="938"/>
      <c r="J135" s="938"/>
      <c r="K135" s="938"/>
      <c r="L135" s="938"/>
      <c r="M135" s="938"/>
      <c r="N135" s="938"/>
      <c r="O135" s="939">
        <f>+SUMPRODUCT(O136:O139,AC136:AC139)</f>
        <v>1</v>
      </c>
      <c r="P135" s="939">
        <f t="shared" ref="P135:R135" si="237">+SUMPRODUCT(P136:P139,AD136:AD139)</f>
        <v>1</v>
      </c>
      <c r="Q135" s="939">
        <f t="shared" si="237"/>
        <v>1</v>
      </c>
      <c r="R135" s="939">
        <f t="shared" si="237"/>
        <v>1</v>
      </c>
      <c r="S135" s="937"/>
      <c r="T135" s="937"/>
      <c r="U135" s="937"/>
      <c r="V135" s="937"/>
      <c r="W135" s="937"/>
      <c r="X135" s="937"/>
      <c r="Y135" s="940"/>
      <c r="Z135" s="940"/>
      <c r="AA135" s="939">
        <f>+SUMPRODUCT(AA136:AA139,AB136:AB139)</f>
        <v>1</v>
      </c>
      <c r="AB135" s="939">
        <v>1</v>
      </c>
      <c r="AC135" s="939">
        <v>1</v>
      </c>
      <c r="AD135" s="939">
        <v>1</v>
      </c>
      <c r="AE135" s="939">
        <v>1</v>
      </c>
      <c r="AF135" s="939">
        <v>1</v>
      </c>
      <c r="AG135" s="937">
        <f>SUM(AG136:AG139)</f>
        <v>600000000</v>
      </c>
      <c r="AH135" s="937">
        <f>SUM(AH136:AH139)</f>
        <v>0</v>
      </c>
      <c r="AI135" s="937">
        <f>SUM(AI136:AI139)</f>
        <v>592541079</v>
      </c>
      <c r="AJ135" s="937">
        <f>SUM(AJ136:AJ139)</f>
        <v>599332244</v>
      </c>
      <c r="AK135" s="937">
        <f>SUM(AK136:AK139)</f>
        <v>600000000</v>
      </c>
      <c r="AL135" s="943">
        <f t="shared" si="117"/>
        <v>1</v>
      </c>
      <c r="AM135" s="937">
        <f>SUM(AM136:AM139)</f>
        <v>0</v>
      </c>
      <c r="AN135" s="937">
        <f>SUM(AN136:AN139)</f>
        <v>415652749</v>
      </c>
      <c r="AO135" s="937">
        <f>SUM(AO136:AO139)</f>
        <v>363796006</v>
      </c>
      <c r="AP135" s="937">
        <f>SUM(AP136:AP139)</f>
        <v>311250000</v>
      </c>
      <c r="AQ135" s="944">
        <f t="shared" si="118"/>
        <v>0.51875000000000004</v>
      </c>
      <c r="AR135" s="945">
        <f t="shared" ref="AR135:AX135" si="238">SUM(AR136:AR139)</f>
        <v>235536238</v>
      </c>
      <c r="AS135" s="937">
        <f t="shared" si="238"/>
        <v>0</v>
      </c>
      <c r="AT135" s="937">
        <f t="shared" si="238"/>
        <v>0</v>
      </c>
      <c r="AU135" s="937">
        <f t="shared" si="238"/>
        <v>176888330</v>
      </c>
      <c r="AV135" s="937">
        <f t="shared" si="238"/>
        <v>176604108</v>
      </c>
      <c r="AW135" s="937">
        <f t="shared" si="238"/>
        <v>235536238</v>
      </c>
      <c r="AX135" s="937">
        <f t="shared" si="238"/>
        <v>234918632</v>
      </c>
      <c r="AY135" s="946">
        <f t="shared" si="109"/>
        <v>0.39022100709615648</v>
      </c>
      <c r="AZ135" s="937">
        <f t="shared" ref="AZ135" si="239">SUM(AZ136:AZ139)</f>
        <v>2200000000</v>
      </c>
      <c r="BA135" s="937">
        <f t="shared" si="120"/>
        <v>1791873323</v>
      </c>
      <c r="BB135" s="939">
        <f t="shared" si="230"/>
        <v>0.81448787409090906</v>
      </c>
      <c r="BC135" s="1005">
        <f t="shared" si="121"/>
        <v>1502221495</v>
      </c>
      <c r="BD135" s="939">
        <f t="shared" si="122"/>
        <v>0.6828279522727273</v>
      </c>
      <c r="BE135" s="945"/>
      <c r="BF135" s="945"/>
      <c r="BG135" s="945"/>
      <c r="BH135" s="945"/>
    </row>
    <row r="136" spans="1:61" s="908" customFormat="1" ht="47.4" customHeight="1">
      <c r="A136" s="1126" t="s">
        <v>1914</v>
      </c>
      <c r="B136" s="1162" t="s">
        <v>2381</v>
      </c>
      <c r="C136" s="980" t="s">
        <v>2108</v>
      </c>
      <c r="D136" s="1046">
        <v>1</v>
      </c>
      <c r="E136" s="1046">
        <v>1</v>
      </c>
      <c r="F136" s="1046">
        <v>1</v>
      </c>
      <c r="G136" s="1046">
        <v>1</v>
      </c>
      <c r="H136" s="949">
        <v>0</v>
      </c>
      <c r="I136" s="949">
        <v>1</v>
      </c>
      <c r="J136" s="949">
        <v>1</v>
      </c>
      <c r="K136" s="949">
        <v>1</v>
      </c>
      <c r="L136" s="949">
        <v>1</v>
      </c>
      <c r="M136" s="949"/>
      <c r="N136" s="949"/>
      <c r="O136" s="973">
        <f t="shared" ref="O136:Q139" si="240">+IFERROR(IF((H136+L136)/D136&gt;=100%,100%,(H136+L136)/D136),0)</f>
        <v>1</v>
      </c>
      <c r="P136" s="973">
        <f t="shared" si="240"/>
        <v>1</v>
      </c>
      <c r="Q136" s="973">
        <f t="shared" si="240"/>
        <v>1</v>
      </c>
      <c r="R136" s="951">
        <f t="shared" ref="R136:R139" si="241">+IFERROR(IF(K136/G136&gt;=100%,100%,K136/G136),0)</f>
        <v>1</v>
      </c>
      <c r="S136" s="952" t="s">
        <v>2382</v>
      </c>
      <c r="T136" s="974">
        <v>45107</v>
      </c>
      <c r="U136" s="985"/>
      <c r="V136" s="985"/>
      <c r="W136" s="952"/>
      <c r="X136" s="975"/>
      <c r="Y136" s="1035">
        <f t="shared" ref="Y136:Y139" si="242">SUM(D136:G136)</f>
        <v>4</v>
      </c>
      <c r="Z136" s="956">
        <f t="shared" ref="Z136:Z139" si="243">SUM(H136:N136)</f>
        <v>4</v>
      </c>
      <c r="AA136" s="1026">
        <f t="shared" ref="AA136:AA139" si="244">IF(Z136/Y136&gt;=100%,100%,Z136/Y136)</f>
        <v>1</v>
      </c>
      <c r="AB136" s="973">
        <v>0.25</v>
      </c>
      <c r="AC136" s="973">
        <v>0.25</v>
      </c>
      <c r="AD136" s="973">
        <v>0.25</v>
      </c>
      <c r="AE136" s="951">
        <v>0.25</v>
      </c>
      <c r="AF136" s="951">
        <v>0.25</v>
      </c>
      <c r="AG136" s="1129">
        <v>150000000</v>
      </c>
      <c r="AH136" s="1129">
        <v>0</v>
      </c>
      <c r="AI136" s="1129">
        <v>148132023</v>
      </c>
      <c r="AJ136" s="1129">
        <v>149833109</v>
      </c>
      <c r="AK136" s="1129">
        <v>150000000</v>
      </c>
      <c r="AL136" s="1025">
        <f t="shared" si="117"/>
        <v>1</v>
      </c>
      <c r="AM136" s="1129">
        <v>0</v>
      </c>
      <c r="AN136" s="1163">
        <v>144167220</v>
      </c>
      <c r="AO136" s="1163">
        <v>141900353</v>
      </c>
      <c r="AP136" s="1129">
        <v>140750000</v>
      </c>
      <c r="AQ136" s="1026">
        <f t="shared" si="118"/>
        <v>0.93833333333333335</v>
      </c>
      <c r="AR136" s="958">
        <f t="shared" ref="AR136:AR139" si="245">+AJ136-AO136</f>
        <v>7932756</v>
      </c>
      <c r="AS136" s="1129">
        <v>0</v>
      </c>
      <c r="AT136" s="1129">
        <v>0</v>
      </c>
      <c r="AU136" s="1129">
        <v>3964803</v>
      </c>
      <c r="AV136" s="1129">
        <v>3887145</v>
      </c>
      <c r="AW136" s="1129">
        <v>7932756</v>
      </c>
      <c r="AX136" s="1129">
        <v>7778437</v>
      </c>
      <c r="AY136" s="1027">
        <f t="shared" si="109"/>
        <v>29.613747353378827</v>
      </c>
      <c r="AZ136" s="1071">
        <v>550000000</v>
      </c>
      <c r="BA136" s="1000">
        <f t="shared" si="120"/>
        <v>447965132</v>
      </c>
      <c r="BB136" s="973">
        <f t="shared" si="115"/>
        <v>0.81448205818181818</v>
      </c>
      <c r="BC136" s="1029">
        <f t="shared" si="121"/>
        <v>438483155</v>
      </c>
      <c r="BD136" s="973">
        <f t="shared" si="122"/>
        <v>0.79724209999999995</v>
      </c>
      <c r="BE136" s="1030"/>
      <c r="BF136" s="1030"/>
      <c r="BG136" s="952" t="s">
        <v>1109</v>
      </c>
      <c r="BH136" s="1379" t="s">
        <v>2383</v>
      </c>
    </row>
    <row r="137" spans="1:61" s="908" customFormat="1" ht="47.4" customHeight="1">
      <c r="A137" s="1126" t="s">
        <v>1915</v>
      </c>
      <c r="B137" s="1162" t="s">
        <v>2384</v>
      </c>
      <c r="C137" s="980" t="s">
        <v>2108</v>
      </c>
      <c r="D137" s="1046">
        <v>1</v>
      </c>
      <c r="E137" s="1046">
        <v>1</v>
      </c>
      <c r="F137" s="1046">
        <v>1</v>
      </c>
      <c r="G137" s="1046">
        <v>1</v>
      </c>
      <c r="H137" s="949">
        <v>0</v>
      </c>
      <c r="I137" s="949">
        <v>1</v>
      </c>
      <c r="J137" s="949">
        <v>1</v>
      </c>
      <c r="K137" s="949">
        <v>1</v>
      </c>
      <c r="L137" s="949">
        <v>1</v>
      </c>
      <c r="M137" s="949"/>
      <c r="N137" s="949"/>
      <c r="O137" s="973">
        <f t="shared" si="240"/>
        <v>1</v>
      </c>
      <c r="P137" s="973">
        <f t="shared" si="240"/>
        <v>1</v>
      </c>
      <c r="Q137" s="973">
        <f t="shared" si="240"/>
        <v>1</v>
      </c>
      <c r="R137" s="951">
        <f t="shared" si="241"/>
        <v>1</v>
      </c>
      <c r="S137" s="952" t="s">
        <v>2385</v>
      </c>
      <c r="T137" s="974">
        <v>45107</v>
      </c>
      <c r="U137" s="985"/>
      <c r="V137" s="985"/>
      <c r="W137" s="952"/>
      <c r="X137" s="975"/>
      <c r="Y137" s="1035">
        <f t="shared" si="242"/>
        <v>4</v>
      </c>
      <c r="Z137" s="956">
        <f t="shared" si="243"/>
        <v>4</v>
      </c>
      <c r="AA137" s="1026">
        <f t="shared" si="244"/>
        <v>1</v>
      </c>
      <c r="AB137" s="973">
        <v>0.25</v>
      </c>
      <c r="AC137" s="973">
        <v>0.25</v>
      </c>
      <c r="AD137" s="973">
        <v>0.25</v>
      </c>
      <c r="AE137" s="951">
        <v>0.25</v>
      </c>
      <c r="AF137" s="951">
        <v>0.25</v>
      </c>
      <c r="AG137" s="1129">
        <v>150000000</v>
      </c>
      <c r="AH137" s="1129">
        <v>0</v>
      </c>
      <c r="AI137" s="1129">
        <v>148136352</v>
      </c>
      <c r="AJ137" s="1129">
        <v>149833045</v>
      </c>
      <c r="AK137" s="1129">
        <v>150000000</v>
      </c>
      <c r="AL137" s="1025">
        <f t="shared" si="117"/>
        <v>1</v>
      </c>
      <c r="AM137" s="1129">
        <v>0</v>
      </c>
      <c r="AN137" s="1129">
        <v>144161843</v>
      </c>
      <c r="AO137" s="1129">
        <v>39998551</v>
      </c>
      <c r="AP137" s="1129">
        <v>14750000</v>
      </c>
      <c r="AQ137" s="1026">
        <f t="shared" si="118"/>
        <v>9.8333333333333328E-2</v>
      </c>
      <c r="AR137" s="958">
        <f t="shared" si="245"/>
        <v>109834494</v>
      </c>
      <c r="AS137" s="1129">
        <v>0</v>
      </c>
      <c r="AT137" s="1129">
        <v>0</v>
      </c>
      <c r="AU137" s="1129">
        <v>3974509</v>
      </c>
      <c r="AV137" s="1129">
        <v>3878517</v>
      </c>
      <c r="AW137" s="1129">
        <v>109834494</v>
      </c>
      <c r="AX137" s="1129">
        <v>109680065</v>
      </c>
      <c r="AY137" s="1027">
        <f t="shared" ref="AY137:AY200" si="246">+AX135/AW137</f>
        <v>2.1388420289895449</v>
      </c>
      <c r="AZ137" s="1071">
        <v>550000000</v>
      </c>
      <c r="BA137" s="1000">
        <f t="shared" si="120"/>
        <v>447969397</v>
      </c>
      <c r="BB137" s="973">
        <f t="shared" si="115"/>
        <v>0.81448981272727272</v>
      </c>
      <c r="BC137" s="1029">
        <f t="shared" si="121"/>
        <v>312468976</v>
      </c>
      <c r="BD137" s="973">
        <f t="shared" si="122"/>
        <v>0.56812541090909086</v>
      </c>
      <c r="BE137" s="1030"/>
      <c r="BF137" s="1030"/>
      <c r="BG137" s="952" t="s">
        <v>1109</v>
      </c>
      <c r="BH137" s="1370"/>
    </row>
    <row r="138" spans="1:61" s="908" customFormat="1" ht="47.4" customHeight="1">
      <c r="A138" s="1126" t="s">
        <v>1916</v>
      </c>
      <c r="B138" s="1162" t="s">
        <v>2384</v>
      </c>
      <c r="C138" s="980" t="s">
        <v>2108</v>
      </c>
      <c r="D138" s="1046">
        <v>1</v>
      </c>
      <c r="E138" s="1046">
        <v>1</v>
      </c>
      <c r="F138" s="1046">
        <v>1</v>
      </c>
      <c r="G138" s="1046">
        <v>1</v>
      </c>
      <c r="H138" s="949">
        <v>0</v>
      </c>
      <c r="I138" s="949">
        <v>1</v>
      </c>
      <c r="J138" s="949">
        <v>1</v>
      </c>
      <c r="K138" s="949">
        <v>1</v>
      </c>
      <c r="L138" s="949">
        <v>1</v>
      </c>
      <c r="M138" s="949"/>
      <c r="N138" s="949"/>
      <c r="O138" s="973">
        <f t="shared" si="240"/>
        <v>1</v>
      </c>
      <c r="P138" s="973">
        <f t="shared" si="240"/>
        <v>1</v>
      </c>
      <c r="Q138" s="973">
        <f t="shared" si="240"/>
        <v>1</v>
      </c>
      <c r="R138" s="951">
        <f t="shared" si="241"/>
        <v>1</v>
      </c>
      <c r="S138" s="952" t="s">
        <v>2386</v>
      </c>
      <c r="T138" s="974">
        <v>45107</v>
      </c>
      <c r="U138" s="985"/>
      <c r="V138" s="985"/>
      <c r="W138" s="952"/>
      <c r="X138" s="975"/>
      <c r="Y138" s="1035">
        <f t="shared" si="242"/>
        <v>4</v>
      </c>
      <c r="Z138" s="956">
        <f t="shared" si="243"/>
        <v>4</v>
      </c>
      <c r="AA138" s="1026">
        <f t="shared" si="244"/>
        <v>1</v>
      </c>
      <c r="AB138" s="973">
        <v>0.25</v>
      </c>
      <c r="AC138" s="973">
        <v>0.25</v>
      </c>
      <c r="AD138" s="973">
        <v>0.25</v>
      </c>
      <c r="AE138" s="951">
        <v>0.25</v>
      </c>
      <c r="AF138" s="951">
        <v>0.25</v>
      </c>
      <c r="AG138" s="1129">
        <v>150000000</v>
      </c>
      <c r="AH138" s="1129">
        <v>0</v>
      </c>
      <c r="AI138" s="1129">
        <v>148136352</v>
      </c>
      <c r="AJ138" s="1129">
        <v>149833045</v>
      </c>
      <c r="AK138" s="1129">
        <v>150000000</v>
      </c>
      <c r="AL138" s="1025">
        <f t="shared" si="117"/>
        <v>1</v>
      </c>
      <c r="AM138" s="1129">
        <v>0</v>
      </c>
      <c r="AN138" s="1129">
        <v>121161843</v>
      </c>
      <c r="AO138" s="1129">
        <v>141898551</v>
      </c>
      <c r="AP138" s="1129">
        <v>68750000</v>
      </c>
      <c r="AQ138" s="1026">
        <f t="shared" si="118"/>
        <v>0.45833333333333331</v>
      </c>
      <c r="AR138" s="958">
        <f t="shared" si="245"/>
        <v>7934494</v>
      </c>
      <c r="AS138" s="1129">
        <v>0</v>
      </c>
      <c r="AT138" s="1129">
        <v>0</v>
      </c>
      <c r="AU138" s="1129">
        <v>26974509</v>
      </c>
      <c r="AV138" s="1129">
        <v>26919223</v>
      </c>
      <c r="AW138" s="1129">
        <v>7934494</v>
      </c>
      <c r="AX138" s="1129">
        <v>7780065</v>
      </c>
      <c r="AY138" s="1027">
        <f t="shared" si="246"/>
        <v>0.98033182708311328</v>
      </c>
      <c r="AZ138" s="1071">
        <v>550000000</v>
      </c>
      <c r="BA138" s="1000">
        <f t="shared" si="120"/>
        <v>447969397</v>
      </c>
      <c r="BB138" s="973">
        <f t="shared" si="115"/>
        <v>0.81448981272727272</v>
      </c>
      <c r="BC138" s="1029">
        <f t="shared" si="121"/>
        <v>366509682</v>
      </c>
      <c r="BD138" s="973">
        <f t="shared" si="122"/>
        <v>0.66638123999999999</v>
      </c>
      <c r="BE138" s="1030"/>
      <c r="BF138" s="1030"/>
      <c r="BG138" s="952" t="s">
        <v>1109</v>
      </c>
      <c r="BH138" s="1370"/>
    </row>
    <row r="139" spans="1:61" s="908" customFormat="1" ht="47.4" customHeight="1">
      <c r="A139" s="1126" t="s">
        <v>2387</v>
      </c>
      <c r="B139" s="1164" t="s">
        <v>2388</v>
      </c>
      <c r="C139" s="980" t="s">
        <v>2108</v>
      </c>
      <c r="D139" s="1046">
        <v>1</v>
      </c>
      <c r="E139" s="1046">
        <v>1</v>
      </c>
      <c r="F139" s="1046">
        <v>1</v>
      </c>
      <c r="G139" s="1046">
        <v>1</v>
      </c>
      <c r="H139" s="949">
        <v>0</v>
      </c>
      <c r="I139" s="949">
        <v>1</v>
      </c>
      <c r="J139" s="949">
        <v>1</v>
      </c>
      <c r="K139" s="949">
        <v>1</v>
      </c>
      <c r="L139" s="949">
        <v>1</v>
      </c>
      <c r="M139" s="949"/>
      <c r="N139" s="949"/>
      <c r="O139" s="973">
        <f t="shared" si="240"/>
        <v>1</v>
      </c>
      <c r="P139" s="973">
        <f t="shared" si="240"/>
        <v>1</v>
      </c>
      <c r="Q139" s="973">
        <f t="shared" si="240"/>
        <v>1</v>
      </c>
      <c r="R139" s="951">
        <f t="shared" si="241"/>
        <v>1</v>
      </c>
      <c r="S139" s="952" t="s">
        <v>2389</v>
      </c>
      <c r="T139" s="974">
        <v>45107</v>
      </c>
      <c r="U139" s="985"/>
      <c r="V139" s="985"/>
      <c r="W139" s="952"/>
      <c r="X139" s="975"/>
      <c r="Y139" s="1035">
        <f t="shared" si="242"/>
        <v>4</v>
      </c>
      <c r="Z139" s="956">
        <f t="shared" si="243"/>
        <v>4</v>
      </c>
      <c r="AA139" s="1026">
        <f t="shared" si="244"/>
        <v>1</v>
      </c>
      <c r="AB139" s="973">
        <v>0.25</v>
      </c>
      <c r="AC139" s="973">
        <v>0.25</v>
      </c>
      <c r="AD139" s="973">
        <v>0.25</v>
      </c>
      <c r="AE139" s="951">
        <v>0.25</v>
      </c>
      <c r="AF139" s="951">
        <v>0.25</v>
      </c>
      <c r="AG139" s="1129">
        <v>150000000</v>
      </c>
      <c r="AH139" s="1129">
        <v>0</v>
      </c>
      <c r="AI139" s="1129">
        <v>148136352</v>
      </c>
      <c r="AJ139" s="1129">
        <v>149833045</v>
      </c>
      <c r="AK139" s="1129">
        <v>150000000</v>
      </c>
      <c r="AL139" s="1025">
        <f t="shared" si="117"/>
        <v>1</v>
      </c>
      <c r="AM139" s="1129">
        <v>0</v>
      </c>
      <c r="AN139" s="1129">
        <v>6161843</v>
      </c>
      <c r="AO139" s="1129">
        <v>39998551</v>
      </c>
      <c r="AP139" s="1129">
        <v>87000000</v>
      </c>
      <c r="AQ139" s="1026">
        <f t="shared" si="118"/>
        <v>0.57999999999999996</v>
      </c>
      <c r="AR139" s="958">
        <f t="shared" si="245"/>
        <v>109834494</v>
      </c>
      <c r="AS139" s="1129">
        <v>0</v>
      </c>
      <c r="AT139" s="1129">
        <v>0</v>
      </c>
      <c r="AU139" s="1129">
        <v>141974509</v>
      </c>
      <c r="AV139" s="1129">
        <v>141919223</v>
      </c>
      <c r="AW139" s="1129">
        <v>109834494</v>
      </c>
      <c r="AX139" s="1129">
        <v>109680065</v>
      </c>
      <c r="AY139" s="1027">
        <f t="shared" si="246"/>
        <v>0.99859398450909242</v>
      </c>
      <c r="AZ139" s="1071">
        <v>550000000</v>
      </c>
      <c r="BA139" s="1000">
        <f t="shared" si="120"/>
        <v>447969397</v>
      </c>
      <c r="BB139" s="973">
        <f t="shared" ref="BB139:BB203" si="247">+BA139/AZ139</f>
        <v>0.81448981272727272</v>
      </c>
      <c r="BC139" s="1029">
        <f t="shared" si="121"/>
        <v>384759682</v>
      </c>
      <c r="BD139" s="973">
        <f t="shared" si="122"/>
        <v>0.69956305818181819</v>
      </c>
      <c r="BE139" s="1030"/>
      <c r="BF139" s="1030"/>
      <c r="BG139" s="952" t="s">
        <v>1703</v>
      </c>
      <c r="BH139" s="1370"/>
    </row>
    <row r="140" spans="1:61" s="935" customFormat="1" ht="47.4" customHeight="1">
      <c r="A140" s="925" t="s">
        <v>2390</v>
      </c>
      <c r="B140" s="926"/>
      <c r="C140" s="926"/>
      <c r="D140" s="927"/>
      <c r="E140" s="927"/>
      <c r="F140" s="1108"/>
      <c r="G140" s="1108"/>
      <c r="H140" s="927"/>
      <c r="I140" s="927"/>
      <c r="J140" s="1108"/>
      <c r="K140" s="1108"/>
      <c r="L140" s="927"/>
      <c r="M140" s="927"/>
      <c r="N140" s="927"/>
      <c r="O140" s="930">
        <f>+(O141*AC141)+(O144*AC144)</f>
        <v>1</v>
      </c>
      <c r="P140" s="930">
        <f t="shared" ref="P140:R140" si="248">+(P141*AD141)+(P144*AD144)</f>
        <v>1</v>
      </c>
      <c r="Q140" s="930">
        <f t="shared" si="248"/>
        <v>1</v>
      </c>
      <c r="R140" s="930">
        <f t="shared" si="248"/>
        <v>1</v>
      </c>
      <c r="S140" s="926"/>
      <c r="T140" s="926"/>
      <c r="U140" s="926"/>
      <c r="V140" s="926"/>
      <c r="W140" s="926"/>
      <c r="X140" s="926"/>
      <c r="Y140" s="929"/>
      <c r="Z140" s="929"/>
      <c r="AA140" s="930">
        <f>+(AA141*AB141)+(AA144*AB144)</f>
        <v>1</v>
      </c>
      <c r="AB140" s="928">
        <v>0.15</v>
      </c>
      <c r="AC140" s="928">
        <v>0.15</v>
      </c>
      <c r="AD140" s="928">
        <v>0.15</v>
      </c>
      <c r="AE140" s="928">
        <v>0.15</v>
      </c>
      <c r="AF140" s="928">
        <v>0.15</v>
      </c>
      <c r="AG140" s="932">
        <f>+AG141+AG144</f>
        <v>1200000000</v>
      </c>
      <c r="AH140" s="926">
        <f>+AH141+AH144</f>
        <v>125000000</v>
      </c>
      <c r="AI140" s="932">
        <f>+AI141+AI144</f>
        <v>1013923268</v>
      </c>
      <c r="AJ140" s="932">
        <f>+AJ141+AJ144</f>
        <v>1133876494</v>
      </c>
      <c r="AK140" s="932">
        <f>+AK141+AK144</f>
        <v>1200000000</v>
      </c>
      <c r="AL140" s="931">
        <f t="shared" ref="AL140:AL203" si="249">+AK140/AG140</f>
        <v>1</v>
      </c>
      <c r="AM140" s="926">
        <f>+AM141+AM144</f>
        <v>62750000</v>
      </c>
      <c r="AN140" s="932">
        <f>+AN141+AN144</f>
        <v>562539524</v>
      </c>
      <c r="AO140" s="932">
        <f>+AO141+AO144</f>
        <v>663781540</v>
      </c>
      <c r="AP140" s="932">
        <f>+AP141+AP144</f>
        <v>1199186665</v>
      </c>
      <c r="AQ140" s="933">
        <f t="shared" ref="AQ140:AQ203" si="250">+AP140/AG140</f>
        <v>0.99932222083333333</v>
      </c>
      <c r="AR140" s="926">
        <f t="shared" ref="AR140:AX140" si="251">+AR141+AR144</f>
        <v>470094954</v>
      </c>
      <c r="AS140" s="926">
        <f t="shared" si="251"/>
        <v>62250000</v>
      </c>
      <c r="AT140" s="926">
        <f t="shared" si="251"/>
        <v>4000000</v>
      </c>
      <c r="AU140" s="926">
        <f t="shared" si="251"/>
        <v>451383744</v>
      </c>
      <c r="AV140" s="926">
        <f t="shared" si="251"/>
        <v>451015168</v>
      </c>
      <c r="AW140" s="926">
        <f t="shared" si="251"/>
        <v>470094954</v>
      </c>
      <c r="AX140" s="926">
        <f t="shared" si="251"/>
        <v>467688033</v>
      </c>
      <c r="AY140" s="934">
        <f t="shared" si="246"/>
        <v>1.6549986197043929E-2</v>
      </c>
      <c r="AZ140" s="926">
        <f t="shared" ref="AZ140" si="252">+AZ141+AZ144</f>
        <v>3485000000</v>
      </c>
      <c r="BA140" s="926">
        <f t="shared" ref="BA140:BA203" si="253">SUM(AH140:AK140)</f>
        <v>3472799762</v>
      </c>
      <c r="BB140" s="928">
        <f t="shared" si="247"/>
        <v>0.99649921434720234</v>
      </c>
      <c r="BC140" s="1010">
        <f t="shared" ref="BC140:BC203" si="254">SUM(AM140:AP140)+AT140+AV140+AX140</f>
        <v>3410960930</v>
      </c>
      <c r="BD140" s="928">
        <f t="shared" ref="BD140:BD203" si="255">+BC140/AZ140</f>
        <v>0.9787549296987087</v>
      </c>
      <c r="BE140" s="926"/>
      <c r="BF140" s="926" t="s">
        <v>1701</v>
      </c>
      <c r="BG140" s="926"/>
      <c r="BH140" s="926"/>
      <c r="BI140" s="935" t="s">
        <v>2103</v>
      </c>
    </row>
    <row r="141" spans="1:61" s="908" customFormat="1" ht="75" hidden="1" customHeight="1">
      <c r="A141" s="936" t="s">
        <v>2391</v>
      </c>
      <c r="B141" s="937"/>
      <c r="C141" s="937"/>
      <c r="D141" s="938"/>
      <c r="E141" s="938"/>
      <c r="F141" s="938"/>
      <c r="G141" s="938"/>
      <c r="H141" s="938"/>
      <c r="I141" s="938"/>
      <c r="J141" s="938"/>
      <c r="K141" s="938"/>
      <c r="L141" s="938"/>
      <c r="M141" s="938"/>
      <c r="N141" s="938"/>
      <c r="O141" s="939">
        <f>+SUMPRODUCT(O142:O143,AC142:AC143)</f>
        <v>0</v>
      </c>
      <c r="P141" s="939">
        <f t="shared" ref="P141:R141" si="256">+SUMPRODUCT(P142:P143,AD142:AD143)</f>
        <v>1</v>
      </c>
      <c r="Q141" s="939">
        <f t="shared" si="256"/>
        <v>1</v>
      </c>
      <c r="R141" s="939">
        <f t="shared" si="256"/>
        <v>1</v>
      </c>
      <c r="S141" s="937"/>
      <c r="T141" s="937"/>
      <c r="U141" s="937"/>
      <c r="V141" s="937"/>
      <c r="W141" s="937"/>
      <c r="X141" s="937"/>
      <c r="Y141" s="940"/>
      <c r="Z141" s="940"/>
      <c r="AA141" s="939">
        <f>+SUMPRODUCT(AA142:AA143,AB142:AB143)</f>
        <v>1</v>
      </c>
      <c r="AB141" s="939">
        <v>0.8</v>
      </c>
      <c r="AC141" s="939">
        <v>0</v>
      </c>
      <c r="AD141" s="939">
        <v>0.8</v>
      </c>
      <c r="AE141" s="939">
        <v>0.8</v>
      </c>
      <c r="AF141" s="939">
        <v>0.8</v>
      </c>
      <c r="AG141" s="942">
        <f>SUM(AG142:AG143)</f>
        <v>1075000000</v>
      </c>
      <c r="AH141" s="937">
        <f>SUM(AH142:AH143)</f>
        <v>0</v>
      </c>
      <c r="AI141" s="942">
        <f>SUM(AI142:AI143)</f>
        <v>890476308</v>
      </c>
      <c r="AJ141" s="942">
        <f>SUM(AJ142:AJ143)</f>
        <v>1008941098</v>
      </c>
      <c r="AK141" s="942">
        <f>SUM(AK142:AK143)</f>
        <v>1075000000</v>
      </c>
      <c r="AL141" s="943">
        <f t="shared" si="249"/>
        <v>1</v>
      </c>
      <c r="AM141" s="937">
        <f>SUM(AM142:AM143)</f>
        <v>0</v>
      </c>
      <c r="AN141" s="942">
        <f>SUM(AN142:AN143)</f>
        <v>497437069</v>
      </c>
      <c r="AO141" s="942">
        <f>SUM(AO142:AO143)</f>
        <v>541679251</v>
      </c>
      <c r="AP141" s="942">
        <f>SUM(AP142:AP143)</f>
        <v>1074395003</v>
      </c>
      <c r="AQ141" s="944">
        <f t="shared" si="250"/>
        <v>0.99943721209302328</v>
      </c>
      <c r="AR141" s="945">
        <f t="shared" ref="AR141:AX141" si="257">SUM(AR142:AR143)</f>
        <v>467261847</v>
      </c>
      <c r="AS141" s="945">
        <f t="shared" si="257"/>
        <v>0</v>
      </c>
      <c r="AT141" s="945">
        <f t="shared" si="257"/>
        <v>0</v>
      </c>
      <c r="AU141" s="945">
        <f t="shared" si="257"/>
        <v>393039239</v>
      </c>
      <c r="AV141" s="945">
        <f t="shared" si="257"/>
        <v>392716735</v>
      </c>
      <c r="AW141" s="945">
        <f t="shared" si="257"/>
        <v>467261847</v>
      </c>
      <c r="AX141" s="945">
        <f t="shared" si="257"/>
        <v>466002028</v>
      </c>
      <c r="AY141" s="946">
        <f t="shared" si="246"/>
        <v>0.23472934009953525</v>
      </c>
      <c r="AZ141" s="937">
        <f t="shared" ref="AZ141" si="258">SUM(AZ142:AZ143)</f>
        <v>2985000000</v>
      </c>
      <c r="BA141" s="937">
        <f t="shared" si="253"/>
        <v>2974417406</v>
      </c>
      <c r="BB141" s="939">
        <f t="shared" si="247"/>
        <v>0.99645474237855947</v>
      </c>
      <c r="BC141" s="1005">
        <f t="shared" si="254"/>
        <v>2972230086</v>
      </c>
      <c r="BD141" s="939">
        <f t="shared" si="255"/>
        <v>0.99572197185929645</v>
      </c>
      <c r="BE141" s="945"/>
      <c r="BF141" s="945"/>
      <c r="BG141" s="945"/>
      <c r="BH141" s="945"/>
      <c r="BI141" s="908" t="s">
        <v>2103</v>
      </c>
    </row>
    <row r="142" spans="1:61" s="908" customFormat="1" ht="98.25" hidden="1" customHeight="1">
      <c r="A142" s="1165" t="s">
        <v>2392</v>
      </c>
      <c r="B142" s="1162" t="s">
        <v>2393</v>
      </c>
      <c r="C142" s="980" t="s">
        <v>2108</v>
      </c>
      <c r="D142" s="1166">
        <v>0</v>
      </c>
      <c r="E142" s="1166">
        <v>23</v>
      </c>
      <c r="F142" s="1166">
        <v>0</v>
      </c>
      <c r="G142" s="1166">
        <v>0</v>
      </c>
      <c r="H142" s="949">
        <v>0</v>
      </c>
      <c r="I142" s="949">
        <v>23</v>
      </c>
      <c r="J142" s="949">
        <v>0</v>
      </c>
      <c r="K142" s="949"/>
      <c r="L142" s="949"/>
      <c r="M142" s="949"/>
      <c r="N142" s="949"/>
      <c r="O142" s="951">
        <f t="shared" ref="O142:Q143" si="259">+IFERROR(IF((H142+L142)/D142&gt;=100%,100%,(H142+L142)/D142),0)</f>
        <v>0</v>
      </c>
      <c r="P142" s="973">
        <f t="shared" si="259"/>
        <v>1</v>
      </c>
      <c r="Q142" s="951">
        <f t="shared" si="259"/>
        <v>0</v>
      </c>
      <c r="R142" s="951">
        <f t="shared" ref="R142:R143" si="260">+IFERROR(IF(K142/G142&gt;=100%,100%,K142/G142),0)</f>
        <v>0</v>
      </c>
      <c r="S142" s="953"/>
      <c r="T142" s="953"/>
      <c r="U142" s="985"/>
      <c r="V142" s="985"/>
      <c r="W142" s="952"/>
      <c r="X142" s="976"/>
      <c r="Y142" s="1166">
        <f t="shared" ref="Y142:Y143" si="261">SUM(D142:G142)</f>
        <v>23</v>
      </c>
      <c r="Z142" s="956">
        <f t="shared" ref="Z142:Z143" si="262">SUM(H142:N142)</f>
        <v>23</v>
      </c>
      <c r="AA142" s="971">
        <f t="shared" ref="AA142:AA143" si="263">IF(Z142/Y142&gt;=100%,100%,Z142/Y142)</f>
        <v>1</v>
      </c>
      <c r="AB142" s="951">
        <v>0.5</v>
      </c>
      <c r="AC142" s="951">
        <v>0</v>
      </c>
      <c r="AD142" s="951">
        <v>0.5</v>
      </c>
      <c r="AE142" s="951">
        <v>0</v>
      </c>
      <c r="AF142" s="951">
        <v>0</v>
      </c>
      <c r="AG142" s="1151">
        <v>0</v>
      </c>
      <c r="AH142" s="1151">
        <v>0</v>
      </c>
      <c r="AI142" s="1137">
        <v>831081538</v>
      </c>
      <c r="AJ142" s="1137">
        <v>0</v>
      </c>
      <c r="AK142" s="1137"/>
      <c r="AL142" s="959" t="e">
        <f t="shared" si="249"/>
        <v>#DIV/0!</v>
      </c>
      <c r="AM142" s="1151">
        <v>0</v>
      </c>
      <c r="AN142" s="1137">
        <v>464258016</v>
      </c>
      <c r="AO142" s="1137">
        <v>0</v>
      </c>
      <c r="AP142" s="1137"/>
      <c r="AQ142" s="971" t="e">
        <f t="shared" si="250"/>
        <v>#DIV/0!</v>
      </c>
      <c r="AR142" s="958">
        <f t="shared" ref="AR142:AR143" si="264">+AJ142-AO142</f>
        <v>0</v>
      </c>
      <c r="AS142" s="1151">
        <v>0</v>
      </c>
      <c r="AT142" s="1151">
        <v>0</v>
      </c>
      <c r="AU142" s="1151"/>
      <c r="AV142" s="1151"/>
      <c r="AW142" s="1151"/>
      <c r="AX142" s="1151"/>
      <c r="AY142" s="999" t="e">
        <f t="shared" si="246"/>
        <v>#DIV/0!</v>
      </c>
      <c r="AZ142" s="1167">
        <v>840000000</v>
      </c>
      <c r="BA142" s="1000">
        <f t="shared" si="253"/>
        <v>831081538</v>
      </c>
      <c r="BB142" s="971">
        <f t="shared" si="247"/>
        <v>0.98938278333333329</v>
      </c>
      <c r="BC142" s="1001">
        <f t="shared" si="254"/>
        <v>464258016</v>
      </c>
      <c r="BD142" s="951">
        <f t="shared" si="255"/>
        <v>0.55268811428571429</v>
      </c>
      <c r="BE142" s="969"/>
      <c r="BF142" s="969"/>
      <c r="BG142" s="953" t="s">
        <v>1109</v>
      </c>
      <c r="BH142" s="1168" t="s">
        <v>2394</v>
      </c>
      <c r="BI142" s="908" t="s">
        <v>2103</v>
      </c>
    </row>
    <row r="143" spans="1:61" s="908" customFormat="1" ht="47.4" customHeight="1">
      <c r="A143" s="1165" t="s">
        <v>2395</v>
      </c>
      <c r="B143" s="1162" t="s">
        <v>2396</v>
      </c>
      <c r="C143" s="948" t="s">
        <v>1056</v>
      </c>
      <c r="D143" s="1219">
        <v>0</v>
      </c>
      <c r="E143" s="1219">
        <v>1</v>
      </c>
      <c r="F143" s="1219">
        <v>1</v>
      </c>
      <c r="G143" s="1219">
        <v>1</v>
      </c>
      <c r="H143" s="951">
        <v>0</v>
      </c>
      <c r="I143" s="951">
        <v>1</v>
      </c>
      <c r="J143" s="951">
        <v>1</v>
      </c>
      <c r="K143" s="951">
        <v>1</v>
      </c>
      <c r="L143" s="949"/>
      <c r="M143" s="949"/>
      <c r="N143" s="949"/>
      <c r="O143" s="951">
        <f t="shared" si="259"/>
        <v>0</v>
      </c>
      <c r="P143" s="973">
        <f t="shared" si="259"/>
        <v>1</v>
      </c>
      <c r="Q143" s="973">
        <f t="shared" si="259"/>
        <v>1</v>
      </c>
      <c r="R143" s="951">
        <f t="shared" si="260"/>
        <v>1</v>
      </c>
      <c r="S143" s="953" t="s">
        <v>2397</v>
      </c>
      <c r="T143" s="974">
        <v>45107</v>
      </c>
      <c r="U143" s="985" t="s">
        <v>2115</v>
      </c>
      <c r="V143" s="985"/>
      <c r="W143" s="952" t="s">
        <v>2116</v>
      </c>
      <c r="X143" s="976" t="s">
        <v>2346</v>
      </c>
      <c r="Y143" s="1169">
        <f t="shared" si="261"/>
        <v>3</v>
      </c>
      <c r="Z143" s="951">
        <f t="shared" si="262"/>
        <v>3</v>
      </c>
      <c r="AA143" s="971">
        <f t="shared" si="263"/>
        <v>1</v>
      </c>
      <c r="AB143" s="951">
        <v>0.5</v>
      </c>
      <c r="AC143" s="951">
        <v>0</v>
      </c>
      <c r="AD143" s="951">
        <v>0.5</v>
      </c>
      <c r="AE143" s="951">
        <v>1</v>
      </c>
      <c r="AF143" s="951">
        <v>1</v>
      </c>
      <c r="AG143" s="1170">
        <v>1075000000</v>
      </c>
      <c r="AH143" s="1151">
        <v>0</v>
      </c>
      <c r="AI143" s="1137">
        <v>59394770</v>
      </c>
      <c r="AJ143" s="1137">
        <v>1008941098</v>
      </c>
      <c r="AK143" s="1137">
        <v>1075000000</v>
      </c>
      <c r="AL143" s="959">
        <f t="shared" si="249"/>
        <v>1</v>
      </c>
      <c r="AM143" s="1151">
        <v>0</v>
      </c>
      <c r="AN143" s="1137">
        <v>33179053</v>
      </c>
      <c r="AO143" s="1137">
        <v>541679251</v>
      </c>
      <c r="AP143" s="1137">
        <v>1074395003</v>
      </c>
      <c r="AQ143" s="971">
        <f t="shared" si="250"/>
        <v>0.99943721209302328</v>
      </c>
      <c r="AR143" s="958">
        <f t="shared" si="264"/>
        <v>467261847</v>
      </c>
      <c r="AS143" s="1151">
        <v>0</v>
      </c>
      <c r="AT143" s="1151">
        <v>0</v>
      </c>
      <c r="AU143" s="1151">
        <v>393039239</v>
      </c>
      <c r="AV143" s="1151">
        <v>392716735</v>
      </c>
      <c r="AW143" s="1151">
        <v>467261847</v>
      </c>
      <c r="AX143" s="1151">
        <v>466002028</v>
      </c>
      <c r="AY143" s="999">
        <f t="shared" si="246"/>
        <v>0.9973038265202081</v>
      </c>
      <c r="AZ143" s="1167">
        <v>2145000000</v>
      </c>
      <c r="BA143" s="1000">
        <f t="shared" si="253"/>
        <v>2143335868</v>
      </c>
      <c r="BB143" s="973">
        <f t="shared" si="247"/>
        <v>0.99922418088578091</v>
      </c>
      <c r="BC143" s="1029">
        <f t="shared" si="254"/>
        <v>2507972070</v>
      </c>
      <c r="BD143" s="973">
        <f t="shared" si="255"/>
        <v>1.1692177482517483</v>
      </c>
      <c r="BE143" s="969"/>
      <c r="BF143" s="969"/>
      <c r="BG143" s="953" t="s">
        <v>1109</v>
      </c>
      <c r="BH143" s="1168" t="s">
        <v>2394</v>
      </c>
      <c r="BI143" s="908" t="s">
        <v>2103</v>
      </c>
    </row>
    <row r="144" spans="1:61" s="908" customFormat="1" ht="47.4" customHeight="1">
      <c r="A144" s="936" t="s">
        <v>2398</v>
      </c>
      <c r="B144" s="937"/>
      <c r="C144" s="937"/>
      <c r="D144" s="938"/>
      <c r="E144" s="938"/>
      <c r="F144" s="938"/>
      <c r="G144" s="938"/>
      <c r="H144" s="938"/>
      <c r="I144" s="938"/>
      <c r="J144" s="938"/>
      <c r="K144" s="938"/>
      <c r="L144" s="938"/>
      <c r="M144" s="938"/>
      <c r="N144" s="938"/>
      <c r="O144" s="939">
        <f>+(O145*AC145)</f>
        <v>1</v>
      </c>
      <c r="P144" s="939">
        <f t="shared" ref="P144:R144" si="265">+(P145*AD145)</f>
        <v>1</v>
      </c>
      <c r="Q144" s="939">
        <f t="shared" si="265"/>
        <v>1</v>
      </c>
      <c r="R144" s="939">
        <f t="shared" si="265"/>
        <v>1</v>
      </c>
      <c r="S144" s="937"/>
      <c r="T144" s="937"/>
      <c r="U144" s="937"/>
      <c r="V144" s="937"/>
      <c r="W144" s="937"/>
      <c r="X144" s="937"/>
      <c r="Y144" s="940"/>
      <c r="Z144" s="940"/>
      <c r="AA144" s="939">
        <f>+SUMPRODUCT(AA145:AA145,AB145:AB145)</f>
        <v>1</v>
      </c>
      <c r="AB144" s="939">
        <v>0.2</v>
      </c>
      <c r="AC144" s="939">
        <v>1</v>
      </c>
      <c r="AD144" s="939">
        <v>0.2</v>
      </c>
      <c r="AE144" s="939">
        <v>0.2</v>
      </c>
      <c r="AF144" s="939">
        <v>0.2</v>
      </c>
      <c r="AG144" s="937">
        <f>SUM(AG145)</f>
        <v>125000000</v>
      </c>
      <c r="AH144" s="937">
        <f>SUM(AH145)</f>
        <v>125000000</v>
      </c>
      <c r="AI144" s="937">
        <f>SUM(AI145)</f>
        <v>123446960</v>
      </c>
      <c r="AJ144" s="937">
        <f>SUM(AJ145)</f>
        <v>124935396</v>
      </c>
      <c r="AK144" s="937">
        <f>SUM(AK145)</f>
        <v>125000000</v>
      </c>
      <c r="AL144" s="943">
        <f t="shared" si="249"/>
        <v>1</v>
      </c>
      <c r="AM144" s="937">
        <f>SUM(AM145)</f>
        <v>62750000</v>
      </c>
      <c r="AN144" s="937">
        <f>SUM(AN145)</f>
        <v>65102455</v>
      </c>
      <c r="AO144" s="937">
        <f>SUM(AO145)</f>
        <v>122102289</v>
      </c>
      <c r="AP144" s="937">
        <f>SUM(AP145)</f>
        <v>124791662</v>
      </c>
      <c r="AQ144" s="944">
        <f t="shared" si="250"/>
        <v>0.99833329599999998</v>
      </c>
      <c r="AR144" s="945">
        <f t="shared" ref="AR144:AX144" si="266">SUM(AR145)</f>
        <v>2833107</v>
      </c>
      <c r="AS144" s="937">
        <f t="shared" si="266"/>
        <v>62250000</v>
      </c>
      <c r="AT144" s="937">
        <f t="shared" si="266"/>
        <v>4000000</v>
      </c>
      <c r="AU144" s="937">
        <f t="shared" si="266"/>
        <v>58344505</v>
      </c>
      <c r="AV144" s="937">
        <f t="shared" si="266"/>
        <v>58298433</v>
      </c>
      <c r="AW144" s="937">
        <f t="shared" si="266"/>
        <v>2833107</v>
      </c>
      <c r="AX144" s="937">
        <f t="shared" si="266"/>
        <v>1686005</v>
      </c>
      <c r="AY144" s="946">
        <f t="shared" si="246"/>
        <v>0</v>
      </c>
      <c r="AZ144" s="937">
        <f t="shared" ref="AZ144" si="267">SUM(AZ145)</f>
        <v>500000000</v>
      </c>
      <c r="BA144" s="937">
        <f t="shared" si="253"/>
        <v>498382356</v>
      </c>
      <c r="BB144" s="939">
        <f t="shared" si="247"/>
        <v>0.99676471200000005</v>
      </c>
      <c r="BC144" s="1005">
        <f t="shared" si="254"/>
        <v>438730844</v>
      </c>
      <c r="BD144" s="939">
        <f t="shared" si="255"/>
        <v>0.87746168800000002</v>
      </c>
      <c r="BE144" s="945"/>
      <c r="BF144" s="945"/>
      <c r="BG144" s="945"/>
      <c r="BH144" s="945"/>
    </row>
    <row r="145" spans="1:61" s="908" customFormat="1" ht="47.4" customHeight="1">
      <c r="A145" s="1134" t="s">
        <v>2399</v>
      </c>
      <c r="B145" s="1171" t="s">
        <v>2400</v>
      </c>
      <c r="C145" s="980" t="s">
        <v>2108</v>
      </c>
      <c r="D145" s="1046">
        <v>1</v>
      </c>
      <c r="E145" s="1046">
        <v>1</v>
      </c>
      <c r="F145" s="1046">
        <v>1</v>
      </c>
      <c r="G145" s="1046">
        <v>1</v>
      </c>
      <c r="H145" s="949">
        <v>0</v>
      </c>
      <c r="I145" s="949">
        <v>1</v>
      </c>
      <c r="J145" s="981">
        <v>1</v>
      </c>
      <c r="K145" s="981">
        <v>1</v>
      </c>
      <c r="L145" s="949">
        <v>1</v>
      </c>
      <c r="M145" s="949"/>
      <c r="N145" s="949"/>
      <c r="O145" s="951">
        <f>+IFERROR(IF((H145+L145)/D145&gt;=100%,100%,(H145+L145)/D145),0)</f>
        <v>1</v>
      </c>
      <c r="P145" s="973">
        <f>+IFERROR(IF((I145+M145)/E145&gt;=100%,100%,(I145+M145)/E145),0)</f>
        <v>1</v>
      </c>
      <c r="Q145" s="973">
        <f>+IFERROR(IF((J145+N145)/F145&gt;=100%,100%,(J145+N145)/F145),0)</f>
        <v>1</v>
      </c>
      <c r="R145" s="951">
        <f>+IFERROR(IF(K145/G145&gt;=100%,100%,K145/G145),0)</f>
        <v>1</v>
      </c>
      <c r="S145" s="953" t="s">
        <v>2401</v>
      </c>
      <c r="T145" s="974">
        <v>45107</v>
      </c>
      <c r="U145" s="985" t="s">
        <v>2115</v>
      </c>
      <c r="V145" s="985"/>
      <c r="W145" s="952" t="s">
        <v>2116</v>
      </c>
      <c r="X145" s="976" t="s">
        <v>2346</v>
      </c>
      <c r="Y145" s="956">
        <f t="shared" ref="Y145" si="268">SUM(D145:G145)</f>
        <v>4</v>
      </c>
      <c r="Z145" s="956">
        <f t="shared" ref="Z145" si="269">SUM(H145:N145)</f>
        <v>4</v>
      </c>
      <c r="AA145" s="971">
        <f t="shared" ref="AA145" si="270">IF(Z145/Y145&gt;=100%,100%,Z145/Y145)</f>
        <v>1</v>
      </c>
      <c r="AB145" s="951">
        <v>1</v>
      </c>
      <c r="AC145" s="951">
        <v>1</v>
      </c>
      <c r="AD145" s="951">
        <v>1</v>
      </c>
      <c r="AE145" s="951">
        <v>1</v>
      </c>
      <c r="AF145" s="951">
        <v>1</v>
      </c>
      <c r="AG145" s="1137">
        <v>125000000</v>
      </c>
      <c r="AH145" s="1137">
        <v>125000000</v>
      </c>
      <c r="AI145" s="1137">
        <v>123446960</v>
      </c>
      <c r="AJ145" s="1137">
        <v>124935396</v>
      </c>
      <c r="AK145" s="1137">
        <v>125000000</v>
      </c>
      <c r="AL145" s="959">
        <f t="shared" si="249"/>
        <v>1</v>
      </c>
      <c r="AM145" s="1137">
        <v>62750000</v>
      </c>
      <c r="AN145" s="1137">
        <v>65102455</v>
      </c>
      <c r="AO145" s="1137">
        <v>122102289</v>
      </c>
      <c r="AP145" s="1137">
        <v>124791662</v>
      </c>
      <c r="AQ145" s="971">
        <f t="shared" si="250"/>
        <v>0.99833329599999998</v>
      </c>
      <c r="AR145" s="958">
        <f>+AJ145-AO145</f>
        <v>2833107</v>
      </c>
      <c r="AS145" s="1137">
        <v>62250000</v>
      </c>
      <c r="AT145" s="1137">
        <v>4000000</v>
      </c>
      <c r="AU145" s="1137">
        <v>58344505</v>
      </c>
      <c r="AV145" s="1137">
        <v>58298433</v>
      </c>
      <c r="AW145" s="1137">
        <v>2833107</v>
      </c>
      <c r="AX145" s="1137">
        <v>1686005</v>
      </c>
      <c r="AY145" s="999">
        <f t="shared" si="246"/>
        <v>164.48444340436137</v>
      </c>
      <c r="AZ145" s="1084">
        <v>500000000</v>
      </c>
      <c r="BA145" s="1000">
        <f t="shared" si="253"/>
        <v>498382356</v>
      </c>
      <c r="BB145" s="973">
        <f>+BA145/AZ145</f>
        <v>0.99676471200000005</v>
      </c>
      <c r="BC145" s="1029">
        <f t="shared" si="254"/>
        <v>438730844</v>
      </c>
      <c r="BD145" s="973">
        <f t="shared" si="255"/>
        <v>0.87746168800000002</v>
      </c>
      <c r="BE145" s="969"/>
      <c r="BF145" s="969"/>
      <c r="BG145" s="953" t="s">
        <v>1703</v>
      </c>
      <c r="BH145" s="1161" t="s">
        <v>2358</v>
      </c>
    </row>
    <row r="146" spans="1:61" s="908" customFormat="1" ht="47.4" customHeight="1">
      <c r="A146" s="914" t="s">
        <v>2402</v>
      </c>
      <c r="B146" s="1123"/>
      <c r="C146" s="1123"/>
      <c r="D146" s="1124"/>
      <c r="E146" s="1124"/>
      <c r="F146" s="1172"/>
      <c r="G146" s="1172"/>
      <c r="H146" s="1124"/>
      <c r="I146" s="1124"/>
      <c r="J146" s="1124"/>
      <c r="K146" s="1124"/>
      <c r="L146" s="1124"/>
      <c r="M146" s="1124"/>
      <c r="N146" s="1124"/>
      <c r="O146" s="917">
        <f>(O147*AC147)+(O150*AC150)+(O157*AC157)+(O167*AC167)+(O190*AC190)+(O202*AC202)+(O208*AC208)</f>
        <v>0.91681400000000002</v>
      </c>
      <c r="P146" s="917">
        <f t="shared" ref="P146:R146" si="271">(P147*AD147)+(P150*AD150)+(P157*AD157)+(P167*AD167)+(P190*AD190)+(P202*AD202)+(P208*AD208)</f>
        <v>0.92327642252173914</v>
      </c>
      <c r="Q146" s="917">
        <f t="shared" si="271"/>
        <v>0.87053800000000003</v>
      </c>
      <c r="R146" s="917">
        <f t="shared" si="271"/>
        <v>0.93952600000000008</v>
      </c>
      <c r="S146" s="1173"/>
      <c r="T146" s="1173"/>
      <c r="U146" s="918"/>
      <c r="V146" s="918"/>
      <c r="W146" s="918"/>
      <c r="X146" s="1173"/>
      <c r="Y146" s="1174"/>
      <c r="Z146" s="1175"/>
      <c r="AA146" s="920">
        <f>(AA147*AB147)+(AA150*AB150)+(AA157*AB157)+(AA167*AB167)+(AA190*AB190)+(AA202*AB202)+(AA208*AB208)</f>
        <v>0.93737287225274746</v>
      </c>
      <c r="AB146" s="920">
        <v>0.15</v>
      </c>
      <c r="AC146" s="920">
        <v>0.15</v>
      </c>
      <c r="AD146" s="920">
        <v>0.15</v>
      </c>
      <c r="AE146" s="920">
        <v>0.15</v>
      </c>
      <c r="AF146" s="920">
        <v>0.15</v>
      </c>
      <c r="AG146" s="921">
        <f>+AG147+AG150+AG157+AG167+AG190+AG202+AG208</f>
        <v>14047657757</v>
      </c>
      <c r="AH146" s="915">
        <f>+AH147+AH150+AH157+AH167+AH190+AH202+AH208</f>
        <v>2780417319</v>
      </c>
      <c r="AI146" s="921">
        <f>+AI147+AI150+AI157+AI167+AI190+AI202+AI208</f>
        <v>5433305897.1400003</v>
      </c>
      <c r="AJ146" s="921">
        <f>+AJ147+AJ150+AJ157+AJ167+AJ190+AJ202+AJ208</f>
        <v>10746837803.18</v>
      </c>
      <c r="AK146" s="921">
        <f>+AK147+AK150+AK157+AK167+AK190+AK202+AK208</f>
        <v>14042351405.34</v>
      </c>
      <c r="AL146" s="922">
        <f t="shared" si="249"/>
        <v>0.99962226075323091</v>
      </c>
      <c r="AM146" s="915">
        <f>+AM147+AM150+AM157+AM167+AM190+AM202+AM208</f>
        <v>1791641486</v>
      </c>
      <c r="AN146" s="921">
        <f>+AN147+AN150+AN157+AN167+AN190+AN202+AN208</f>
        <v>4158637205.3000002</v>
      </c>
      <c r="AO146" s="921">
        <f>+AO147+AO150+AO157+AO167+AO190+AO202+AO208</f>
        <v>6159301541.6099997</v>
      </c>
      <c r="AP146" s="921">
        <f>+AP147+AP150+AP157+AP167+AP190+AP202+AP208</f>
        <v>8012026823.8800001</v>
      </c>
      <c r="AQ146" s="923">
        <f t="shared" si="250"/>
        <v>0.57034610057235891</v>
      </c>
      <c r="AR146" s="915">
        <f t="shared" ref="AR146:AX146" si="272">+AR147+AR150+AR157+AR167+AR190+AR202+AR208</f>
        <v>4587536261.5699997</v>
      </c>
      <c r="AS146" s="915">
        <f t="shared" si="272"/>
        <v>988775833</v>
      </c>
      <c r="AT146" s="915">
        <f t="shared" si="272"/>
        <v>869778890</v>
      </c>
      <c r="AU146" s="915">
        <f t="shared" si="272"/>
        <v>1274668691.8400002</v>
      </c>
      <c r="AV146" s="915">
        <f t="shared" si="272"/>
        <v>1209290667.2</v>
      </c>
      <c r="AW146" s="915">
        <f t="shared" si="272"/>
        <v>4587536261.5699997</v>
      </c>
      <c r="AX146" s="915">
        <f t="shared" si="272"/>
        <v>4272766601.8099995</v>
      </c>
      <c r="AY146" s="1125">
        <f t="shared" si="246"/>
        <v>3.675186208605566E-4</v>
      </c>
      <c r="AZ146" s="915">
        <f t="shared" ref="AZ146" si="273">+AZ147+AZ150+AZ157+AZ167+AZ190+AZ202+AZ208</f>
        <v>34333698559</v>
      </c>
      <c r="BA146" s="915">
        <f t="shared" si="253"/>
        <v>33002912424.66</v>
      </c>
      <c r="BB146" s="920">
        <f t="shared" ref="BB146:BB174" si="274">+BA146/AZ146</f>
        <v>0.96123965112429877</v>
      </c>
      <c r="BC146" s="1059">
        <f t="shared" si="254"/>
        <v>26473443215.800003</v>
      </c>
      <c r="BD146" s="920">
        <f t="shared" si="255"/>
        <v>0.77106295933446523</v>
      </c>
      <c r="BE146" s="915"/>
      <c r="BF146" s="915"/>
      <c r="BG146" s="915"/>
      <c r="BH146" s="915"/>
      <c r="BI146" s="908" t="s">
        <v>2103</v>
      </c>
    </row>
    <row r="147" spans="1:61" s="935" customFormat="1" ht="39" hidden="1" customHeight="1">
      <c r="A147" s="925" t="s">
        <v>2403</v>
      </c>
      <c r="B147" s="926"/>
      <c r="C147" s="926"/>
      <c r="D147" s="927"/>
      <c r="E147" s="927"/>
      <c r="F147" s="1108"/>
      <c r="G147" s="1108"/>
      <c r="H147" s="927"/>
      <c r="I147" s="927"/>
      <c r="J147" s="1108"/>
      <c r="K147" s="1108"/>
      <c r="L147" s="927"/>
      <c r="M147" s="927"/>
      <c r="N147" s="927"/>
      <c r="O147" s="928">
        <f>+(O148*AC148)</f>
        <v>0</v>
      </c>
      <c r="P147" s="928">
        <f t="shared" ref="P147:R147" si="275">+(P148*AD148)</f>
        <v>1</v>
      </c>
      <c r="Q147" s="928">
        <f t="shared" si="275"/>
        <v>1</v>
      </c>
      <c r="R147" s="928">
        <f t="shared" si="275"/>
        <v>1</v>
      </c>
      <c r="S147" s="1176"/>
      <c r="T147" s="1176"/>
      <c r="U147" s="926"/>
      <c r="V147" s="926"/>
      <c r="W147" s="926"/>
      <c r="X147" s="1176"/>
      <c r="Y147" s="1177"/>
      <c r="Z147" s="929"/>
      <c r="AA147" s="928">
        <f>+(AA148*AB148)</f>
        <v>1</v>
      </c>
      <c r="AB147" s="928">
        <v>0.05</v>
      </c>
      <c r="AC147" s="928">
        <v>0</v>
      </c>
      <c r="AD147" s="928">
        <v>0.05</v>
      </c>
      <c r="AE147" s="928">
        <v>0.05</v>
      </c>
      <c r="AF147" s="928">
        <v>0.05</v>
      </c>
      <c r="AG147" s="926">
        <f>+AG148</f>
        <v>175000000</v>
      </c>
      <c r="AH147" s="926">
        <f>+AH148</f>
        <v>0</v>
      </c>
      <c r="AI147" s="926">
        <f>+AI148</f>
        <v>177204569.19999999</v>
      </c>
      <c r="AJ147" s="926">
        <f>+AJ148</f>
        <v>174909553</v>
      </c>
      <c r="AK147" s="926">
        <f>+AK148</f>
        <v>175000000</v>
      </c>
      <c r="AL147" s="931">
        <f t="shared" si="249"/>
        <v>1</v>
      </c>
      <c r="AM147" s="926">
        <f>+AM148</f>
        <v>0</v>
      </c>
      <c r="AN147" s="926">
        <f>+AN148</f>
        <v>164176346</v>
      </c>
      <c r="AO147" s="926">
        <f>+AO148</f>
        <v>162374348</v>
      </c>
      <c r="AP147" s="926">
        <f>+AP148</f>
        <v>17208327</v>
      </c>
      <c r="AQ147" s="933">
        <f t="shared" si="250"/>
        <v>9.8333297142857143E-2</v>
      </c>
      <c r="AR147" s="926">
        <f t="shared" ref="AR147:AX147" si="276">+AR148</f>
        <v>12535205</v>
      </c>
      <c r="AS147" s="926">
        <f t="shared" si="276"/>
        <v>0</v>
      </c>
      <c r="AT147" s="926">
        <f t="shared" si="276"/>
        <v>0</v>
      </c>
      <c r="AU147" s="926">
        <f t="shared" si="276"/>
        <v>13028223.199999999</v>
      </c>
      <c r="AV147" s="926">
        <f t="shared" si="276"/>
        <v>12945295.199999999</v>
      </c>
      <c r="AW147" s="926">
        <f t="shared" si="276"/>
        <v>12535205</v>
      </c>
      <c r="AX147" s="926">
        <f t="shared" si="276"/>
        <v>5452734</v>
      </c>
      <c r="AY147" s="934">
        <f t="shared" si="246"/>
        <v>0.13450158972270498</v>
      </c>
      <c r="AZ147" s="926">
        <f t="shared" ref="AZ147" si="277">+AZ148</f>
        <v>530000000</v>
      </c>
      <c r="BA147" s="926">
        <f t="shared" si="253"/>
        <v>527114122.19999999</v>
      </c>
      <c r="BB147" s="928">
        <f t="shared" si="274"/>
        <v>0.99455494754716978</v>
      </c>
      <c r="BC147" s="1010">
        <f t="shared" si="254"/>
        <v>362157050.19999999</v>
      </c>
      <c r="BD147" s="928">
        <f t="shared" si="255"/>
        <v>0.68331518905660371</v>
      </c>
      <c r="BE147" s="926"/>
      <c r="BF147" s="926" t="s">
        <v>1694</v>
      </c>
      <c r="BG147" s="926"/>
      <c r="BH147" s="926"/>
      <c r="BI147" s="935" t="s">
        <v>2103</v>
      </c>
    </row>
    <row r="148" spans="1:61" s="908" customFormat="1" ht="36" hidden="1" customHeight="1">
      <c r="A148" s="936" t="s">
        <v>2404</v>
      </c>
      <c r="B148" s="937"/>
      <c r="C148" s="937"/>
      <c r="D148" s="938"/>
      <c r="E148" s="938"/>
      <c r="F148" s="938"/>
      <c r="G148" s="938"/>
      <c r="H148" s="938"/>
      <c r="I148" s="938"/>
      <c r="J148" s="938"/>
      <c r="K148" s="938"/>
      <c r="L148" s="938"/>
      <c r="M148" s="938"/>
      <c r="N148" s="938"/>
      <c r="O148" s="939">
        <f>+O149*AC149</f>
        <v>0</v>
      </c>
      <c r="P148" s="939">
        <f t="shared" ref="P148:R148" si="278">+P149*AD149</f>
        <v>1</v>
      </c>
      <c r="Q148" s="939">
        <f t="shared" si="278"/>
        <v>1</v>
      </c>
      <c r="R148" s="939">
        <f t="shared" si="278"/>
        <v>1</v>
      </c>
      <c r="S148" s="1178"/>
      <c r="T148" s="1178"/>
      <c r="U148" s="937"/>
      <c r="V148" s="937"/>
      <c r="W148" s="937"/>
      <c r="X148" s="1178"/>
      <c r="Y148" s="1102"/>
      <c r="Z148" s="940"/>
      <c r="AA148" s="939">
        <f>+SUMPRODUCT(AA149:AA149,AB149:AB149)</f>
        <v>1</v>
      </c>
      <c r="AB148" s="939">
        <v>1</v>
      </c>
      <c r="AC148" s="939">
        <v>0</v>
      </c>
      <c r="AD148" s="939">
        <v>1</v>
      </c>
      <c r="AE148" s="939">
        <v>1</v>
      </c>
      <c r="AF148" s="939">
        <v>1</v>
      </c>
      <c r="AG148" s="937">
        <f>SUM(AG149)</f>
        <v>175000000</v>
      </c>
      <c r="AH148" s="937">
        <f>SUM(AH149)</f>
        <v>0</v>
      </c>
      <c r="AI148" s="937">
        <f>SUM(AI149)</f>
        <v>177204569.19999999</v>
      </c>
      <c r="AJ148" s="937">
        <f>SUM(AJ149)</f>
        <v>174909553</v>
      </c>
      <c r="AK148" s="937">
        <f>SUM(AK149)</f>
        <v>175000000</v>
      </c>
      <c r="AL148" s="943">
        <f t="shared" si="249"/>
        <v>1</v>
      </c>
      <c r="AM148" s="937">
        <f>SUM(AM149)</f>
        <v>0</v>
      </c>
      <c r="AN148" s="937">
        <f>SUM(AN149)</f>
        <v>164176346</v>
      </c>
      <c r="AO148" s="937">
        <f>SUM(AO149)</f>
        <v>162374348</v>
      </c>
      <c r="AP148" s="937">
        <f>SUM(AP149)</f>
        <v>17208327</v>
      </c>
      <c r="AQ148" s="944">
        <f t="shared" si="250"/>
        <v>9.8333297142857143E-2</v>
      </c>
      <c r="AR148" s="945">
        <f t="shared" ref="AR148:AX148" si="279">SUM(AR149)</f>
        <v>12535205</v>
      </c>
      <c r="AS148" s="937">
        <f t="shared" si="279"/>
        <v>0</v>
      </c>
      <c r="AT148" s="937">
        <f t="shared" si="279"/>
        <v>0</v>
      </c>
      <c r="AU148" s="937">
        <f t="shared" si="279"/>
        <v>13028223.199999999</v>
      </c>
      <c r="AV148" s="937">
        <f t="shared" si="279"/>
        <v>12945295.199999999</v>
      </c>
      <c r="AW148" s="937">
        <f t="shared" si="279"/>
        <v>12535205</v>
      </c>
      <c r="AX148" s="937">
        <f t="shared" si="279"/>
        <v>5452734</v>
      </c>
      <c r="AY148" s="946">
        <f t="shared" si="246"/>
        <v>340.86132630539345</v>
      </c>
      <c r="AZ148" s="937">
        <f t="shared" ref="AZ148" si="280">SUM(AZ149)</f>
        <v>530000000</v>
      </c>
      <c r="BA148" s="937">
        <f t="shared" si="253"/>
        <v>527114122.19999999</v>
      </c>
      <c r="BB148" s="939">
        <f t="shared" si="274"/>
        <v>0.99455494754716978</v>
      </c>
      <c r="BC148" s="1005">
        <f t="shared" si="254"/>
        <v>362157050.19999999</v>
      </c>
      <c r="BD148" s="939">
        <f t="shared" si="255"/>
        <v>0.68331518905660371</v>
      </c>
      <c r="BE148" s="945"/>
      <c r="BF148" s="945"/>
      <c r="BG148" s="945"/>
      <c r="BH148" s="945"/>
      <c r="BI148" s="908" t="s">
        <v>2103</v>
      </c>
    </row>
    <row r="149" spans="1:61" s="908" customFormat="1" ht="47.4" customHeight="1">
      <c r="A149" s="1179" t="s">
        <v>1856</v>
      </c>
      <c r="B149" s="1180" t="s">
        <v>2405</v>
      </c>
      <c r="C149" s="980" t="s">
        <v>2108</v>
      </c>
      <c r="D149" s="1046">
        <v>0</v>
      </c>
      <c r="E149" s="1046">
        <v>1</v>
      </c>
      <c r="F149" s="1046">
        <v>1</v>
      </c>
      <c r="G149" s="1046">
        <v>1</v>
      </c>
      <c r="H149" s="949">
        <v>0</v>
      </c>
      <c r="I149" s="949">
        <v>0</v>
      </c>
      <c r="J149" s="949">
        <v>1</v>
      </c>
      <c r="K149" s="949">
        <v>1</v>
      </c>
      <c r="L149" s="949"/>
      <c r="M149" s="949">
        <v>1</v>
      </c>
      <c r="N149" s="949"/>
      <c r="O149" s="951">
        <f>+IFERROR(IF((H149+L149)/D149&gt;=100%,100%,(H149+L149)/D149),0)</f>
        <v>0</v>
      </c>
      <c r="P149" s="973">
        <f>+IFERROR(IF((I149+M149)/E149&gt;=100%,100%,(I149+M149)/E149),0)</f>
        <v>1</v>
      </c>
      <c r="Q149" s="973">
        <f>+IFERROR(IF((J149+N149)/F149&gt;=100%,100%,(J149+N149)/F149),0)</f>
        <v>1</v>
      </c>
      <c r="R149" s="951">
        <f>+IFERROR(IF(K149/G149&gt;=100%,100%,K149/G149),0)</f>
        <v>1</v>
      </c>
      <c r="S149" s="908" t="s">
        <v>2406</v>
      </c>
      <c r="T149" s="974">
        <v>45107</v>
      </c>
      <c r="U149" s="985" t="s">
        <v>2115</v>
      </c>
      <c r="V149" s="985"/>
      <c r="W149" s="952" t="s">
        <v>2116</v>
      </c>
      <c r="X149" s="976" t="s">
        <v>2313</v>
      </c>
      <c r="Y149" s="912">
        <f t="shared" ref="Y149" si="281">SUM(D149:G149)</f>
        <v>3</v>
      </c>
      <c r="Z149" s="956">
        <f t="shared" ref="Z149" si="282">SUM(H149:N149)</f>
        <v>3</v>
      </c>
      <c r="AA149" s="971">
        <f t="shared" ref="AA149" si="283">IF(Z149/Y149&gt;=100%,100%,Z149/Y149)</f>
        <v>1</v>
      </c>
      <c r="AB149" s="951">
        <v>1</v>
      </c>
      <c r="AC149" s="951">
        <v>0</v>
      </c>
      <c r="AD149" s="951">
        <v>1</v>
      </c>
      <c r="AE149" s="951">
        <v>1</v>
      </c>
      <c r="AF149" s="951">
        <v>1</v>
      </c>
      <c r="AG149" s="1182">
        <v>175000000</v>
      </c>
      <c r="AH149" s="1182">
        <v>0</v>
      </c>
      <c r="AI149" s="1182">
        <v>177204569.19999999</v>
      </c>
      <c r="AJ149" s="1182">
        <v>174909553</v>
      </c>
      <c r="AK149" s="1182">
        <v>175000000</v>
      </c>
      <c r="AL149" s="959">
        <f t="shared" si="249"/>
        <v>1</v>
      </c>
      <c r="AM149" s="1182">
        <v>0</v>
      </c>
      <c r="AN149" s="1182">
        <v>164176346</v>
      </c>
      <c r="AO149" s="1182">
        <v>162374348</v>
      </c>
      <c r="AP149" s="1182">
        <v>17208327</v>
      </c>
      <c r="AQ149" s="971">
        <f t="shared" si="250"/>
        <v>9.8333297142857143E-2</v>
      </c>
      <c r="AR149" s="958">
        <f>+AJ149-AO149</f>
        <v>12535205</v>
      </c>
      <c r="AS149" s="1182">
        <v>0</v>
      </c>
      <c r="AT149" s="1182">
        <v>0</v>
      </c>
      <c r="AU149" s="1182">
        <v>13028223.199999999</v>
      </c>
      <c r="AV149" s="1182">
        <v>12945295.199999999</v>
      </c>
      <c r="AW149" s="1182">
        <v>12535205</v>
      </c>
      <c r="AX149" s="1182">
        <v>5452734</v>
      </c>
      <c r="AY149" s="999">
        <f t="shared" si="246"/>
        <v>0.43499360401365594</v>
      </c>
      <c r="AZ149" s="1084">
        <v>530000000</v>
      </c>
      <c r="BA149" s="1000">
        <f t="shared" si="253"/>
        <v>527114122.19999999</v>
      </c>
      <c r="BB149" s="973">
        <f t="shared" si="274"/>
        <v>0.99455494754716978</v>
      </c>
      <c r="BC149" s="1029">
        <f t="shared" si="254"/>
        <v>362157050.19999999</v>
      </c>
      <c r="BD149" s="973">
        <f t="shared" si="255"/>
        <v>0.68331518905660371</v>
      </c>
      <c r="BE149" s="969"/>
      <c r="BF149" s="969"/>
      <c r="BG149" s="953" t="s">
        <v>649</v>
      </c>
      <c r="BH149" s="1183" t="s">
        <v>2150</v>
      </c>
      <c r="BI149" s="908" t="s">
        <v>2103</v>
      </c>
    </row>
    <row r="150" spans="1:61" s="935" customFormat="1" ht="47.4" customHeight="1">
      <c r="A150" s="925" t="s">
        <v>2407</v>
      </c>
      <c r="B150" s="926"/>
      <c r="C150" s="926"/>
      <c r="D150" s="927"/>
      <c r="E150" s="927"/>
      <c r="F150" s="1108"/>
      <c r="G150" s="1108"/>
      <c r="H150" s="927"/>
      <c r="I150" s="927"/>
      <c r="J150" s="1108"/>
      <c r="K150" s="1108"/>
      <c r="L150" s="927"/>
      <c r="M150" s="927"/>
      <c r="N150" s="927"/>
      <c r="O150" s="928">
        <f>+(O151*AC151)+(O153*AC153)+(O155*AC155)</f>
        <v>1</v>
      </c>
      <c r="P150" s="933">
        <f>+(P151*AD151)+(P153*AD153)+(P155*AD155)</f>
        <v>1</v>
      </c>
      <c r="Q150" s="933">
        <f>+(Q151*AE151)+(Q153*AE153)+(Q155*AE155)</f>
        <v>1</v>
      </c>
      <c r="R150" s="933">
        <f>+(R151*AF151)+(R153*AF153)+(R155*AF155)</f>
        <v>1</v>
      </c>
      <c r="S150" s="1176"/>
      <c r="T150" s="1176"/>
      <c r="U150" s="926"/>
      <c r="V150" s="926"/>
      <c r="W150" s="926"/>
      <c r="X150" s="1176"/>
      <c r="Y150" s="1177"/>
      <c r="Z150" s="929">
        <f t="shared" ref="Z150:Z155" si="284">SUM(H150:M150)</f>
        <v>0</v>
      </c>
      <c r="AA150" s="928">
        <f>+(AA151*AB151)+(AA153*AB153)+(AA155*AB155)</f>
        <v>1</v>
      </c>
      <c r="AB150" s="928">
        <v>0.1</v>
      </c>
      <c r="AC150" s="928">
        <v>0.14000000000000001</v>
      </c>
      <c r="AD150" s="928">
        <v>0.1</v>
      </c>
      <c r="AE150" s="928">
        <v>0.1</v>
      </c>
      <c r="AF150" s="928">
        <v>0.1</v>
      </c>
      <c r="AG150" s="926">
        <f>+AG151+AG153+AG155</f>
        <v>260000000</v>
      </c>
      <c r="AH150" s="926">
        <f>+AH151+AH153+AH155</f>
        <v>68500000</v>
      </c>
      <c r="AI150" s="926">
        <f>+AI151+AI153+AI155</f>
        <v>472511601</v>
      </c>
      <c r="AJ150" s="926">
        <f>+AJ151+AJ153+AJ155</f>
        <v>429686303</v>
      </c>
      <c r="AK150" s="926">
        <f>+AK151+AK153+AK155</f>
        <v>260000000</v>
      </c>
      <c r="AL150" s="931">
        <f t="shared" si="249"/>
        <v>1</v>
      </c>
      <c r="AM150" s="926">
        <f>+AM151+AM153+AM155</f>
        <v>30000000</v>
      </c>
      <c r="AN150" s="926">
        <f>+AN151+AN153+AN155</f>
        <v>445997516</v>
      </c>
      <c r="AO150" s="926">
        <f>+AO151+AO153+AO155</f>
        <v>320743627</v>
      </c>
      <c r="AP150" s="926">
        <f>+AP151+AP153+AP155</f>
        <v>135816663</v>
      </c>
      <c r="AQ150" s="933">
        <f t="shared" si="250"/>
        <v>0.52237178076923074</v>
      </c>
      <c r="AR150" s="926">
        <f t="shared" ref="AR150:AX150" si="285">+AR151+AR153+AR155</f>
        <v>108942676</v>
      </c>
      <c r="AS150" s="926">
        <f t="shared" si="285"/>
        <v>38500000</v>
      </c>
      <c r="AT150" s="926">
        <f t="shared" si="285"/>
        <v>38500000</v>
      </c>
      <c r="AU150" s="926">
        <f t="shared" si="285"/>
        <v>26514085</v>
      </c>
      <c r="AV150" s="926">
        <f t="shared" si="285"/>
        <v>26213355</v>
      </c>
      <c r="AW150" s="926">
        <f t="shared" si="285"/>
        <v>108942676</v>
      </c>
      <c r="AX150" s="926">
        <f t="shared" si="285"/>
        <v>99988463</v>
      </c>
      <c r="AY150" s="934">
        <f t="shared" si="246"/>
        <v>5.0051405015973723E-2</v>
      </c>
      <c r="AZ150" s="926">
        <f t="shared" ref="AZ150" si="286">+AZ151+AZ153+AZ155</f>
        <v>1380000000</v>
      </c>
      <c r="BA150" s="926">
        <f t="shared" si="253"/>
        <v>1230697904</v>
      </c>
      <c r="BB150" s="928">
        <f t="shared" si="274"/>
        <v>0.89181007536231882</v>
      </c>
      <c r="BC150" s="1010">
        <f t="shared" si="254"/>
        <v>1097259624</v>
      </c>
      <c r="BD150" s="928">
        <f t="shared" si="255"/>
        <v>0.7951156695652174</v>
      </c>
      <c r="BE150" s="926"/>
      <c r="BF150" s="926" t="s">
        <v>1699</v>
      </c>
      <c r="BG150" s="926"/>
      <c r="BH150" s="926"/>
      <c r="BI150" s="935" t="s">
        <v>2103</v>
      </c>
    </row>
    <row r="151" spans="1:61" s="908" customFormat="1" ht="44.25" hidden="1" customHeight="1">
      <c r="A151" s="936" t="s">
        <v>2408</v>
      </c>
      <c r="B151" s="937"/>
      <c r="C151" s="937"/>
      <c r="D151" s="938"/>
      <c r="E151" s="938"/>
      <c r="F151" s="938"/>
      <c r="G151" s="938"/>
      <c r="H151" s="938"/>
      <c r="I151" s="938"/>
      <c r="J151" s="938"/>
      <c r="K151" s="938"/>
      <c r="L151" s="938"/>
      <c r="M151" s="938"/>
      <c r="N151" s="938"/>
      <c r="O151" s="939">
        <f>+O152*AC152</f>
        <v>1</v>
      </c>
      <c r="P151" s="939">
        <f t="shared" ref="P151:R151" si="287">+P152*AD152</f>
        <v>1</v>
      </c>
      <c r="Q151" s="939">
        <f t="shared" si="287"/>
        <v>1</v>
      </c>
      <c r="R151" s="939">
        <f t="shared" si="287"/>
        <v>1</v>
      </c>
      <c r="S151" s="937"/>
      <c r="T151" s="937"/>
      <c r="U151" s="937"/>
      <c r="V151" s="937"/>
      <c r="W151" s="937"/>
      <c r="X151" s="937"/>
      <c r="Y151" s="940"/>
      <c r="Z151" s="940">
        <f t="shared" si="284"/>
        <v>0</v>
      </c>
      <c r="AA151" s="939">
        <f>+SUMPRODUCT(AA152:AA152,AB152:AB152)</f>
        <v>1</v>
      </c>
      <c r="AB151" s="939">
        <v>0.3</v>
      </c>
      <c r="AC151" s="939">
        <v>0.45</v>
      </c>
      <c r="AD151" s="939">
        <v>0.3</v>
      </c>
      <c r="AE151" s="939">
        <v>0.3</v>
      </c>
      <c r="AF151" s="939">
        <v>0.45</v>
      </c>
      <c r="AG151" s="937">
        <f>SUM(AG152)</f>
        <v>110000000</v>
      </c>
      <c r="AH151" s="937">
        <f>SUM(AH152)</f>
        <v>0</v>
      </c>
      <c r="AI151" s="937">
        <f>SUM(AI152)</f>
        <v>137825746</v>
      </c>
      <c r="AJ151" s="937">
        <f>SUM(AJ152)</f>
        <v>99948316</v>
      </c>
      <c r="AK151" s="937">
        <f>SUM(AK152)</f>
        <v>110000000</v>
      </c>
      <c r="AL151" s="943">
        <f t="shared" si="249"/>
        <v>1</v>
      </c>
      <c r="AM151" s="937">
        <f>SUM(AM152)</f>
        <v>0</v>
      </c>
      <c r="AN151" s="937">
        <f>SUM(AN152)</f>
        <v>127134839</v>
      </c>
      <c r="AO151" s="937">
        <f>SUM(AO152)</f>
        <v>32949328</v>
      </c>
      <c r="AP151" s="937">
        <f>SUM(AP152)</f>
        <v>10816663</v>
      </c>
      <c r="AQ151" s="944">
        <f t="shared" si="250"/>
        <v>9.8333299999999998E-2</v>
      </c>
      <c r="AR151" s="945">
        <f t="shared" ref="AR151:AX151" si="288">SUM(AR152)</f>
        <v>66998988</v>
      </c>
      <c r="AS151" s="937">
        <f t="shared" si="288"/>
        <v>0</v>
      </c>
      <c r="AT151" s="937">
        <f t="shared" si="288"/>
        <v>0</v>
      </c>
      <c r="AU151" s="937">
        <f t="shared" si="288"/>
        <v>10690907</v>
      </c>
      <c r="AV151" s="937">
        <f t="shared" si="288"/>
        <v>10626406</v>
      </c>
      <c r="AW151" s="937">
        <f t="shared" si="288"/>
        <v>66998988</v>
      </c>
      <c r="AX151" s="937">
        <f t="shared" si="288"/>
        <v>64233137</v>
      </c>
      <c r="AY151" s="946">
        <f t="shared" si="246"/>
        <v>8.1385318834965095E-2</v>
      </c>
      <c r="AZ151" s="937">
        <f t="shared" ref="AZ151" si="289">SUM(AZ152)</f>
        <v>470000000</v>
      </c>
      <c r="BA151" s="937">
        <f t="shared" si="253"/>
        <v>347774062</v>
      </c>
      <c r="BB151" s="939">
        <f t="shared" si="274"/>
        <v>0.73994481276595747</v>
      </c>
      <c r="BC151" s="1005">
        <f t="shared" si="254"/>
        <v>245760373</v>
      </c>
      <c r="BD151" s="939">
        <f t="shared" si="255"/>
        <v>0.52289441063829789</v>
      </c>
      <c r="BE151" s="945"/>
      <c r="BF151" s="945"/>
      <c r="BG151" s="945"/>
      <c r="BH151" s="945"/>
      <c r="BI151" s="908" t="s">
        <v>2103</v>
      </c>
    </row>
    <row r="152" spans="1:61" s="908" customFormat="1" ht="47.4" customHeight="1">
      <c r="A152" s="1184" t="s">
        <v>1853</v>
      </c>
      <c r="B152" s="1185" t="s">
        <v>2409</v>
      </c>
      <c r="C152" s="980" t="s">
        <v>2108</v>
      </c>
      <c r="D152" s="1046">
        <v>1</v>
      </c>
      <c r="E152" s="1046">
        <v>1</v>
      </c>
      <c r="F152" s="1046">
        <v>1</v>
      </c>
      <c r="G152" s="1046">
        <v>1</v>
      </c>
      <c r="H152" s="949">
        <v>1</v>
      </c>
      <c r="I152" s="949">
        <v>1</v>
      </c>
      <c r="J152" s="982">
        <v>1</v>
      </c>
      <c r="K152" s="982">
        <v>1</v>
      </c>
      <c r="L152" s="949"/>
      <c r="M152" s="949"/>
      <c r="N152" s="949"/>
      <c r="O152" s="951">
        <f>+IFERROR(IF((H152+L152)/D152&gt;=100%,100%,(H152+L152)/D152),0)</f>
        <v>1</v>
      </c>
      <c r="P152" s="973">
        <f>+IFERROR(IF((I152+M152)/E152&gt;=100%,100%,(I152+M152)/E152),0)</f>
        <v>1</v>
      </c>
      <c r="Q152" s="973">
        <f>+IFERROR(IF((J152+N152)/F152&gt;=100%,100%,(J152+N152)/F152),0)</f>
        <v>1</v>
      </c>
      <c r="R152" s="951">
        <f>+IFERROR(IF(K152/G152&gt;=100%,100%,K152/G152),0)</f>
        <v>1</v>
      </c>
      <c r="S152" s="953" t="s">
        <v>2410</v>
      </c>
      <c r="T152" s="974">
        <v>45107</v>
      </c>
      <c r="U152" s="985" t="s">
        <v>2115</v>
      </c>
      <c r="V152" s="985"/>
      <c r="W152" s="952" t="s">
        <v>2116</v>
      </c>
      <c r="X152" s="976" t="s">
        <v>2313</v>
      </c>
      <c r="Y152" s="956">
        <f t="shared" ref="Y152" si="290">SUM(D152:G152)</f>
        <v>4</v>
      </c>
      <c r="Z152" s="956">
        <f t="shared" ref="Z152" si="291">SUM(H152:N152)</f>
        <v>4</v>
      </c>
      <c r="AA152" s="971">
        <f t="shared" ref="AA152" si="292">IF(Z152/Y152&gt;=100%,100%,Z152/Y152)</f>
        <v>1</v>
      </c>
      <c r="AB152" s="951">
        <v>1</v>
      </c>
      <c r="AC152" s="951">
        <v>1</v>
      </c>
      <c r="AD152" s="951">
        <v>1</v>
      </c>
      <c r="AE152" s="951">
        <v>1</v>
      </c>
      <c r="AF152" s="951">
        <v>1</v>
      </c>
      <c r="AG152" s="1186">
        <v>110000000</v>
      </c>
      <c r="AH152" s="1187">
        <v>0</v>
      </c>
      <c r="AI152" s="1186">
        <v>137825746</v>
      </c>
      <c r="AJ152" s="1186">
        <v>99948316</v>
      </c>
      <c r="AK152" s="1186">
        <v>110000000</v>
      </c>
      <c r="AL152" s="959">
        <f t="shared" si="249"/>
        <v>1</v>
      </c>
      <c r="AM152" s="1187">
        <v>0</v>
      </c>
      <c r="AN152" s="1186">
        <v>127134839</v>
      </c>
      <c r="AO152" s="1186">
        <v>32949328</v>
      </c>
      <c r="AP152" s="1186">
        <v>10816663</v>
      </c>
      <c r="AQ152" s="971">
        <f t="shared" si="250"/>
        <v>9.8333299999999998E-2</v>
      </c>
      <c r="AR152" s="958">
        <f>+AJ152-AO152</f>
        <v>66998988</v>
      </c>
      <c r="AS152" s="1187">
        <v>0</v>
      </c>
      <c r="AT152" s="1187">
        <v>0</v>
      </c>
      <c r="AU152" s="1187">
        <v>10690907</v>
      </c>
      <c r="AV152" s="1187">
        <v>10626406</v>
      </c>
      <c r="AW152" s="1187">
        <v>66998988</v>
      </c>
      <c r="AX152" s="1187">
        <v>64233137</v>
      </c>
      <c r="AY152" s="999">
        <f t="shared" si="246"/>
        <v>1.492387661139001</v>
      </c>
      <c r="AZ152" s="1084">
        <v>470000000</v>
      </c>
      <c r="BA152" s="1000">
        <f t="shared" si="253"/>
        <v>347774062</v>
      </c>
      <c r="BB152" s="973">
        <f t="shared" si="274"/>
        <v>0.73994481276595747</v>
      </c>
      <c r="BC152" s="1029">
        <f t="shared" si="254"/>
        <v>245760373</v>
      </c>
      <c r="BD152" s="973">
        <f t="shared" si="255"/>
        <v>0.52289441063829789</v>
      </c>
      <c r="BE152" s="969"/>
      <c r="BF152" s="969"/>
      <c r="BG152" s="953" t="s">
        <v>649</v>
      </c>
      <c r="BH152" s="1188" t="s">
        <v>2411</v>
      </c>
      <c r="BI152" s="908" t="s">
        <v>2103</v>
      </c>
    </row>
    <row r="153" spans="1:61" s="908" customFormat="1" ht="47.4" customHeight="1">
      <c r="A153" s="936" t="s">
        <v>2412</v>
      </c>
      <c r="B153" s="937"/>
      <c r="C153" s="937"/>
      <c r="D153" s="938"/>
      <c r="E153" s="938"/>
      <c r="F153" s="938"/>
      <c r="G153" s="938"/>
      <c r="H153" s="938"/>
      <c r="I153" s="938"/>
      <c r="J153" s="938"/>
      <c r="K153" s="938"/>
      <c r="L153" s="938"/>
      <c r="M153" s="938"/>
      <c r="N153" s="938"/>
      <c r="O153" s="939">
        <f>+O154*AC154</f>
        <v>1</v>
      </c>
      <c r="P153" s="939">
        <f t="shared" ref="P153:R153" si="293">+P154*AD154</f>
        <v>1</v>
      </c>
      <c r="Q153" s="939">
        <f t="shared" si="293"/>
        <v>1</v>
      </c>
      <c r="R153" s="939">
        <f t="shared" si="293"/>
        <v>1</v>
      </c>
      <c r="S153" s="937"/>
      <c r="T153" s="937"/>
      <c r="U153" s="937"/>
      <c r="V153" s="937"/>
      <c r="W153" s="937"/>
      <c r="X153" s="937"/>
      <c r="Y153" s="940"/>
      <c r="Z153" s="940">
        <f t="shared" si="284"/>
        <v>0</v>
      </c>
      <c r="AA153" s="939">
        <f>+SUMPRODUCT(AA154:AA154,AB154:AB154)</f>
        <v>1</v>
      </c>
      <c r="AB153" s="939">
        <v>0.4</v>
      </c>
      <c r="AC153" s="939">
        <v>0.55000000000000004</v>
      </c>
      <c r="AD153" s="939">
        <v>0.4</v>
      </c>
      <c r="AE153" s="939">
        <v>0.4</v>
      </c>
      <c r="AF153" s="939">
        <v>0.55000000000000004</v>
      </c>
      <c r="AG153" s="937">
        <f>SUM(AG154)</f>
        <v>150000000</v>
      </c>
      <c r="AH153" s="937">
        <f>SUM(AH154)</f>
        <v>68500000</v>
      </c>
      <c r="AI153" s="937">
        <f>SUM(AI154)</f>
        <v>157516021</v>
      </c>
      <c r="AJ153" s="937">
        <f>SUM(AJ154)</f>
        <v>154828434</v>
      </c>
      <c r="AK153" s="937">
        <f>SUM(AK154)</f>
        <v>150000000</v>
      </c>
      <c r="AL153" s="943">
        <f t="shared" si="249"/>
        <v>1</v>
      </c>
      <c r="AM153" s="937">
        <f>SUM(AM154)</f>
        <v>30000000</v>
      </c>
      <c r="AN153" s="937">
        <f>SUM(AN154)</f>
        <v>152164275</v>
      </c>
      <c r="AO153" s="937">
        <f>SUM(AO154)</f>
        <v>149632817</v>
      </c>
      <c r="AP153" s="937">
        <f>SUM(AP154)</f>
        <v>125000000</v>
      </c>
      <c r="AQ153" s="944">
        <f t="shared" si="250"/>
        <v>0.83333333333333337</v>
      </c>
      <c r="AR153" s="945">
        <f t="shared" ref="AR153:AX153" si="294">SUM(AR154)</f>
        <v>5195617</v>
      </c>
      <c r="AS153" s="937">
        <f t="shared" si="294"/>
        <v>38500000</v>
      </c>
      <c r="AT153" s="937">
        <f t="shared" si="294"/>
        <v>38500000</v>
      </c>
      <c r="AU153" s="937">
        <f t="shared" si="294"/>
        <v>5351746</v>
      </c>
      <c r="AV153" s="937">
        <f t="shared" si="294"/>
        <v>5278031</v>
      </c>
      <c r="AW153" s="937">
        <f t="shared" si="294"/>
        <v>5195617</v>
      </c>
      <c r="AX153" s="937">
        <f t="shared" si="294"/>
        <v>2241552</v>
      </c>
      <c r="AY153" s="946">
        <f t="shared" si="246"/>
        <v>12.362946883883088</v>
      </c>
      <c r="AZ153" s="937">
        <f>SUM(AZ154)</f>
        <v>555000000</v>
      </c>
      <c r="BA153" s="937">
        <f t="shared" si="253"/>
        <v>530844455</v>
      </c>
      <c r="BB153" s="939">
        <f t="shared" si="274"/>
        <v>0.95647649549549552</v>
      </c>
      <c r="BC153" s="1005">
        <f t="shared" si="254"/>
        <v>502816675</v>
      </c>
      <c r="BD153" s="939">
        <f t="shared" si="255"/>
        <v>0.90597599099099102</v>
      </c>
      <c r="BE153" s="945"/>
      <c r="BF153" s="945"/>
      <c r="BG153" s="945"/>
      <c r="BH153" s="945"/>
      <c r="BI153" s="908" t="s">
        <v>2103</v>
      </c>
    </row>
    <row r="154" spans="1:61" s="908" customFormat="1" ht="47.4" customHeight="1">
      <c r="A154" s="1189" t="s">
        <v>1854</v>
      </c>
      <c r="B154" s="1185" t="s">
        <v>2409</v>
      </c>
      <c r="C154" s="980" t="s">
        <v>2108</v>
      </c>
      <c r="D154" s="1046">
        <v>1</v>
      </c>
      <c r="E154" s="1046">
        <v>1</v>
      </c>
      <c r="F154" s="1046">
        <v>1</v>
      </c>
      <c r="G154" s="1046">
        <v>1</v>
      </c>
      <c r="H154" s="949">
        <v>1</v>
      </c>
      <c r="I154" s="949">
        <v>1</v>
      </c>
      <c r="J154" s="1190">
        <v>1</v>
      </c>
      <c r="K154" s="1190">
        <v>1</v>
      </c>
      <c r="L154" s="949"/>
      <c r="M154" s="949"/>
      <c r="N154" s="949"/>
      <c r="O154" s="951">
        <f>+IFERROR(IF((H154+L154)/D154&gt;=100%,100%,(H154+L154)/D154),0)</f>
        <v>1</v>
      </c>
      <c r="P154" s="973">
        <f>+IFERROR(IF((I154+M154)/E154&gt;=100%,100%,(I154+M154)/E154),0)</f>
        <v>1</v>
      </c>
      <c r="Q154" s="973">
        <f>+IFERROR(IF((J154+N154)/F154&gt;=100%,100%,(J154+N154)/F154),0)</f>
        <v>1</v>
      </c>
      <c r="R154" s="951">
        <f>+IFERROR(IF(K154/G154&gt;=100%,100%,K154/G154),0)</f>
        <v>1</v>
      </c>
      <c r="S154" s="953" t="s">
        <v>2413</v>
      </c>
      <c r="T154" s="974">
        <v>45107</v>
      </c>
      <c r="U154" s="985"/>
      <c r="V154" s="985"/>
      <c r="W154" s="952"/>
      <c r="X154" s="976"/>
      <c r="Y154" s="956">
        <f t="shared" ref="Y154" si="295">SUM(D154:G154)</f>
        <v>4</v>
      </c>
      <c r="Z154" s="956">
        <f t="shared" ref="Z154" si="296">SUM(H154:N154)</f>
        <v>4</v>
      </c>
      <c r="AA154" s="971">
        <f t="shared" ref="AA154" si="297">IF(Z154/Y154&gt;=100%,100%,Z154/Y154)</f>
        <v>1</v>
      </c>
      <c r="AB154" s="951">
        <v>1</v>
      </c>
      <c r="AC154" s="951">
        <v>1</v>
      </c>
      <c r="AD154" s="951">
        <v>1</v>
      </c>
      <c r="AE154" s="951">
        <v>1</v>
      </c>
      <c r="AF154" s="951">
        <v>1</v>
      </c>
      <c r="AG154" s="1187">
        <v>150000000</v>
      </c>
      <c r="AH154" s="1187">
        <v>68500000</v>
      </c>
      <c r="AI154" s="1187">
        <v>157516021</v>
      </c>
      <c r="AJ154" s="1187">
        <v>154828434</v>
      </c>
      <c r="AK154" s="1187">
        <v>150000000</v>
      </c>
      <c r="AL154" s="959">
        <f t="shared" si="249"/>
        <v>1</v>
      </c>
      <c r="AM154" s="1187">
        <v>30000000</v>
      </c>
      <c r="AN154" s="1187">
        <v>152164275</v>
      </c>
      <c r="AO154" s="1187">
        <v>149632817</v>
      </c>
      <c r="AP154" s="1187">
        <v>125000000</v>
      </c>
      <c r="AQ154" s="971">
        <f t="shared" si="250"/>
        <v>0.83333333333333337</v>
      </c>
      <c r="AR154" s="958">
        <f>+AJ154-AO154</f>
        <v>5195617</v>
      </c>
      <c r="AS154" s="1187">
        <v>38500000</v>
      </c>
      <c r="AT154" s="1187">
        <v>38500000</v>
      </c>
      <c r="AU154" s="1187">
        <v>5351746</v>
      </c>
      <c r="AV154" s="1187">
        <v>5278031</v>
      </c>
      <c r="AW154" s="1187">
        <v>5195617</v>
      </c>
      <c r="AX154" s="1187">
        <v>2241552</v>
      </c>
      <c r="AY154" s="999">
        <f t="shared" si="246"/>
        <v>12.362946883883088</v>
      </c>
      <c r="AZ154" s="1084">
        <v>555000000</v>
      </c>
      <c r="BA154" s="1000">
        <f t="shared" si="253"/>
        <v>530844455</v>
      </c>
      <c r="BB154" s="973">
        <f t="shared" si="274"/>
        <v>0.95647649549549552</v>
      </c>
      <c r="BC154" s="1029">
        <f t="shared" si="254"/>
        <v>502816675</v>
      </c>
      <c r="BD154" s="973">
        <f t="shared" si="255"/>
        <v>0.90597599099099102</v>
      </c>
      <c r="BE154" s="969"/>
      <c r="BF154" s="969"/>
      <c r="BG154" s="953" t="s">
        <v>649</v>
      </c>
      <c r="BH154" s="1191" t="s">
        <v>2411</v>
      </c>
      <c r="BI154" s="908" t="s">
        <v>2103</v>
      </c>
    </row>
    <row r="155" spans="1:61" s="908" customFormat="1" ht="44.25" hidden="1" customHeight="1">
      <c r="A155" s="936" t="s">
        <v>2414</v>
      </c>
      <c r="B155" s="937"/>
      <c r="C155" s="937"/>
      <c r="D155" s="938"/>
      <c r="E155" s="938"/>
      <c r="F155" s="938"/>
      <c r="G155" s="938"/>
      <c r="H155" s="938"/>
      <c r="I155" s="938"/>
      <c r="J155" s="938"/>
      <c r="K155" s="938"/>
      <c r="L155" s="938"/>
      <c r="M155" s="938"/>
      <c r="N155" s="938"/>
      <c r="O155" s="939">
        <f>+O156*AC156</f>
        <v>0</v>
      </c>
      <c r="P155" s="939">
        <f t="shared" ref="P155:R155" si="298">+P156*AD156</f>
        <v>1</v>
      </c>
      <c r="Q155" s="939">
        <f t="shared" si="298"/>
        <v>1</v>
      </c>
      <c r="R155" s="939">
        <f t="shared" si="298"/>
        <v>0</v>
      </c>
      <c r="S155" s="937"/>
      <c r="T155" s="937"/>
      <c r="U155" s="937"/>
      <c r="V155" s="937"/>
      <c r="W155" s="937"/>
      <c r="X155" s="937"/>
      <c r="Y155" s="940"/>
      <c r="Z155" s="940">
        <f t="shared" si="284"/>
        <v>0</v>
      </c>
      <c r="AA155" s="939">
        <f>+SUMPRODUCT(AA156:AA156,AB156:AB156)</f>
        <v>1</v>
      </c>
      <c r="AB155" s="939">
        <v>0.3</v>
      </c>
      <c r="AC155" s="939">
        <v>0</v>
      </c>
      <c r="AD155" s="939">
        <v>0.3</v>
      </c>
      <c r="AE155" s="939">
        <v>0.3</v>
      </c>
      <c r="AF155" s="939">
        <v>0</v>
      </c>
      <c r="AG155" s="937">
        <f>SUM(AG156)</f>
        <v>0</v>
      </c>
      <c r="AH155" s="937">
        <f>SUM(AH156)</f>
        <v>0</v>
      </c>
      <c r="AI155" s="937">
        <f>SUM(AI156)</f>
        <v>177169834</v>
      </c>
      <c r="AJ155" s="937">
        <f>SUM(AJ156)</f>
        <v>174909553</v>
      </c>
      <c r="AK155" s="937">
        <f>SUM(AK156)</f>
        <v>0</v>
      </c>
      <c r="AL155" s="943">
        <v>0</v>
      </c>
      <c r="AM155" s="937">
        <f>SUM(AM156)</f>
        <v>0</v>
      </c>
      <c r="AN155" s="937">
        <f>SUM(AN156)</f>
        <v>166698402</v>
      </c>
      <c r="AO155" s="937">
        <f>SUM(AO156)</f>
        <v>138161482</v>
      </c>
      <c r="AP155" s="937"/>
      <c r="AQ155" s="944" t="e">
        <f t="shared" si="250"/>
        <v>#DIV/0!</v>
      </c>
      <c r="AR155" s="945">
        <f t="shared" ref="AR155:AX155" si="299">SUM(AR156)</f>
        <v>36748071</v>
      </c>
      <c r="AS155" s="937">
        <f t="shared" si="299"/>
        <v>0</v>
      </c>
      <c r="AT155" s="937">
        <f t="shared" si="299"/>
        <v>0</v>
      </c>
      <c r="AU155" s="937">
        <f t="shared" si="299"/>
        <v>10471432</v>
      </c>
      <c r="AV155" s="937">
        <f t="shared" si="299"/>
        <v>10308918</v>
      </c>
      <c r="AW155" s="937">
        <f t="shared" si="299"/>
        <v>36748071</v>
      </c>
      <c r="AX155" s="937">
        <f t="shared" si="299"/>
        <v>33513774</v>
      </c>
      <c r="AY155" s="946">
        <f t="shared" si="246"/>
        <v>6.0997814007706687E-2</v>
      </c>
      <c r="AZ155" s="937">
        <f t="shared" ref="AZ155" si="300">SUM(AZ156)</f>
        <v>355000000</v>
      </c>
      <c r="BA155" s="937">
        <f t="shared" si="253"/>
        <v>352079387</v>
      </c>
      <c r="BB155" s="939">
        <f t="shared" si="274"/>
        <v>0.99177292112676052</v>
      </c>
      <c r="BC155" s="1005">
        <f t="shared" si="254"/>
        <v>348682576</v>
      </c>
      <c r="BD155" s="939">
        <f t="shared" si="255"/>
        <v>0.98220443943661973</v>
      </c>
      <c r="BE155" s="945"/>
      <c r="BF155" s="945"/>
      <c r="BG155" s="945"/>
      <c r="BH155" s="945"/>
    </row>
    <row r="156" spans="1:61" s="908" customFormat="1" ht="93" hidden="1" customHeight="1">
      <c r="A156" s="1184" t="s">
        <v>2415</v>
      </c>
      <c r="B156" s="1192" t="s">
        <v>2416</v>
      </c>
      <c r="C156" s="980" t="s">
        <v>2108</v>
      </c>
      <c r="D156" s="1193">
        <v>0</v>
      </c>
      <c r="E156" s="1193">
        <v>1</v>
      </c>
      <c r="F156" s="1193">
        <v>1</v>
      </c>
      <c r="G156" s="1193">
        <v>0</v>
      </c>
      <c r="H156" s="949">
        <v>0</v>
      </c>
      <c r="I156" s="949">
        <v>0</v>
      </c>
      <c r="J156" s="949">
        <v>1</v>
      </c>
      <c r="K156" s="949"/>
      <c r="L156" s="949"/>
      <c r="M156" s="949">
        <v>1</v>
      </c>
      <c r="N156" s="949"/>
      <c r="O156" s="951">
        <f>+IFERROR(IF((H156+L156)/D156&gt;=100%,100%,(H156+L156)/D156),0)</f>
        <v>0</v>
      </c>
      <c r="P156" s="973">
        <f>+IFERROR(IF((I156+M156)/E156&gt;=100%,100%,(I156+M156)/E156),0)</f>
        <v>1</v>
      </c>
      <c r="Q156" s="973">
        <f>+IFERROR(IF((J156+N156)/F156&gt;=100%,100%,(J156+N156)/F156),0)</f>
        <v>1</v>
      </c>
      <c r="R156" s="951">
        <f>+IFERROR(IF(K156/G156&gt;=100%,100%,K156/G156),0)</f>
        <v>0</v>
      </c>
      <c r="S156" s="953"/>
      <c r="T156" s="953"/>
      <c r="U156" s="985"/>
      <c r="V156" s="985"/>
      <c r="W156" s="952"/>
      <c r="X156" s="976"/>
      <c r="Y156" s="956">
        <f t="shared" ref="Y156" si="301">SUM(D156:G156)</f>
        <v>2</v>
      </c>
      <c r="Z156" s="956">
        <f t="shared" ref="Z156" si="302">SUM(H156:N156)</f>
        <v>2</v>
      </c>
      <c r="AA156" s="971">
        <f t="shared" ref="AA156" si="303">IF(Z156/Y156&gt;=100%,100%,Z156/Y156)</f>
        <v>1</v>
      </c>
      <c r="AB156" s="951">
        <v>1</v>
      </c>
      <c r="AC156" s="951">
        <v>0</v>
      </c>
      <c r="AD156" s="951">
        <v>1</v>
      </c>
      <c r="AE156" s="951">
        <v>1</v>
      </c>
      <c r="AF156" s="951">
        <v>0</v>
      </c>
      <c r="AG156" s="1187">
        <v>0</v>
      </c>
      <c r="AH156" s="1187">
        <v>0</v>
      </c>
      <c r="AI156" s="1187">
        <v>177169834</v>
      </c>
      <c r="AJ156" s="1187">
        <v>174909553</v>
      </c>
      <c r="AK156" s="1187">
        <v>0</v>
      </c>
      <c r="AL156" s="959">
        <v>0</v>
      </c>
      <c r="AM156" s="1187">
        <v>0</v>
      </c>
      <c r="AN156" s="1187">
        <v>166698402</v>
      </c>
      <c r="AO156" s="1187">
        <v>138161482</v>
      </c>
      <c r="AP156" s="1187"/>
      <c r="AQ156" s="971" t="e">
        <f t="shared" si="250"/>
        <v>#DIV/0!</v>
      </c>
      <c r="AR156" s="958">
        <f>+AJ156-AO156</f>
        <v>36748071</v>
      </c>
      <c r="AS156" s="1187">
        <v>0</v>
      </c>
      <c r="AT156" s="1187">
        <v>0</v>
      </c>
      <c r="AU156" s="1187">
        <v>10471432</v>
      </c>
      <c r="AV156" s="1187">
        <v>10308918</v>
      </c>
      <c r="AW156" s="1187">
        <v>36748071</v>
      </c>
      <c r="AX156" s="1187">
        <v>33513774</v>
      </c>
      <c r="AY156" s="999">
        <f t="shared" si="246"/>
        <v>6.0997814007706687E-2</v>
      </c>
      <c r="AZ156" s="1084">
        <v>355000000</v>
      </c>
      <c r="BA156" s="1000">
        <f t="shared" si="253"/>
        <v>352079387</v>
      </c>
      <c r="BB156" s="973">
        <f t="shared" si="274"/>
        <v>0.99177292112676052</v>
      </c>
      <c r="BC156" s="1029">
        <f t="shared" si="254"/>
        <v>348682576</v>
      </c>
      <c r="BD156" s="973">
        <f t="shared" si="255"/>
        <v>0.98220443943661973</v>
      </c>
      <c r="BE156" s="969"/>
      <c r="BF156" s="969"/>
      <c r="BG156" s="953" t="s">
        <v>649</v>
      </c>
      <c r="BH156" s="1188" t="s">
        <v>2411</v>
      </c>
    </row>
    <row r="157" spans="1:61" s="935" customFormat="1" ht="47.4" customHeight="1">
      <c r="A157" s="925" t="s">
        <v>2417</v>
      </c>
      <c r="B157" s="926"/>
      <c r="C157" s="926"/>
      <c r="D157" s="927"/>
      <c r="E157" s="927"/>
      <c r="F157" s="1108"/>
      <c r="G157" s="1108"/>
      <c r="H157" s="927"/>
      <c r="I157" s="927"/>
      <c r="J157" s="1108"/>
      <c r="K157" s="1108"/>
      <c r="L157" s="927"/>
      <c r="M157" s="927"/>
      <c r="N157" s="927"/>
      <c r="O157" s="928">
        <f>+(O158*AC158)+(O161*AC161)+(O163*AC163)+(O165*AC165)</f>
        <v>0.9</v>
      </c>
      <c r="P157" s="928">
        <f t="shared" ref="P157:R157" si="304">+(P158*AD158)+(P161*AD161)+(P163*AD163)+(P165*AD165)</f>
        <v>1</v>
      </c>
      <c r="Q157" s="928">
        <f t="shared" si="304"/>
        <v>1</v>
      </c>
      <c r="R157" s="928">
        <f t="shared" si="304"/>
        <v>1</v>
      </c>
      <c r="S157" s="1176"/>
      <c r="T157" s="1176"/>
      <c r="U157" s="926"/>
      <c r="V157" s="926"/>
      <c r="W157" s="926"/>
      <c r="X157" s="1176"/>
      <c r="Y157" s="1177"/>
      <c r="Z157" s="929"/>
      <c r="AA157" s="1087">
        <f>+(AA158*AB158)+(AA161*AB161)+(AA163*AB163)+(AA165*AB165)</f>
        <v>0.98125000000000007</v>
      </c>
      <c r="AB157" s="928">
        <v>0.1</v>
      </c>
      <c r="AC157" s="928">
        <v>0.14000000000000001</v>
      </c>
      <c r="AD157" s="928">
        <v>0.14000000000000001</v>
      </c>
      <c r="AE157" s="928">
        <v>0.1</v>
      </c>
      <c r="AF157" s="928">
        <v>0.1</v>
      </c>
      <c r="AG157" s="926">
        <f>+AG158+AG161+AG163+AG165</f>
        <v>6625000000</v>
      </c>
      <c r="AH157" s="926">
        <f>+AH158+AH161+AH163+AH165</f>
        <v>519650000</v>
      </c>
      <c r="AI157" s="926">
        <f>+AI158+AI161+AI163+AI165</f>
        <v>486929495</v>
      </c>
      <c r="AJ157" s="926">
        <f>+AJ158+AJ161+AJ163+AJ165</f>
        <v>1729588519</v>
      </c>
      <c r="AK157" s="926">
        <f>+AK158+AK161+AK163+AK165</f>
        <v>6625000000</v>
      </c>
      <c r="AL157" s="931">
        <f t="shared" si="249"/>
        <v>1</v>
      </c>
      <c r="AM157" s="926">
        <f>+AM158+AM161+AM163+AM165</f>
        <v>109050000</v>
      </c>
      <c r="AN157" s="926">
        <f>+AN158+AN161+AN163+AN165</f>
        <v>447174904</v>
      </c>
      <c r="AO157" s="926">
        <f>+AO158+AO161+AO163+AO165</f>
        <v>1346126997.02</v>
      </c>
      <c r="AP157" s="926">
        <f>+AP158+AP161+AP163+AP165</f>
        <v>4598350022</v>
      </c>
      <c r="AQ157" s="933">
        <f t="shared" si="250"/>
        <v>0.69409056935849056</v>
      </c>
      <c r="AR157" s="926">
        <f t="shared" ref="AR157:AX157" si="305">+AR158+AR161+AR163+AR165</f>
        <v>383461521.98000002</v>
      </c>
      <c r="AS157" s="926">
        <f t="shared" si="305"/>
        <v>410600000</v>
      </c>
      <c r="AT157" s="926">
        <f t="shared" si="305"/>
        <v>320578348</v>
      </c>
      <c r="AU157" s="926">
        <f t="shared" si="305"/>
        <v>39754591</v>
      </c>
      <c r="AV157" s="926">
        <f t="shared" si="305"/>
        <v>35269555</v>
      </c>
      <c r="AW157" s="926">
        <f t="shared" si="305"/>
        <v>383461521.98000002</v>
      </c>
      <c r="AX157" s="926">
        <f t="shared" si="305"/>
        <v>378376312.98000002</v>
      </c>
      <c r="AY157" s="934">
        <f t="shared" si="246"/>
        <v>8.7398010175706642E-2</v>
      </c>
      <c r="AZ157" s="926">
        <f t="shared" ref="AZ157" si="306">+AZ158+AZ161+AZ163+AZ165</f>
        <v>9505000000</v>
      </c>
      <c r="BA157" s="926">
        <f t="shared" si="253"/>
        <v>9361168014</v>
      </c>
      <c r="BB157" s="928">
        <f t="shared" si="274"/>
        <v>0.98486775528669124</v>
      </c>
      <c r="BC157" s="1010">
        <f t="shared" si="254"/>
        <v>7234926139</v>
      </c>
      <c r="BD157" s="928">
        <f t="shared" si="255"/>
        <v>0.76117055644397691</v>
      </c>
      <c r="BE157" s="926"/>
      <c r="BF157" s="926" t="s">
        <v>1698</v>
      </c>
      <c r="BG157" s="926"/>
      <c r="BH157" s="926"/>
      <c r="BI157" s="935" t="s">
        <v>2103</v>
      </c>
    </row>
    <row r="158" spans="1:61" s="908" customFormat="1" ht="47.4" customHeight="1">
      <c r="A158" s="936" t="s">
        <v>2418</v>
      </c>
      <c r="B158" s="937"/>
      <c r="C158" s="937"/>
      <c r="D158" s="938"/>
      <c r="E158" s="938"/>
      <c r="F158" s="938"/>
      <c r="G158" s="938"/>
      <c r="H158" s="938"/>
      <c r="I158" s="938"/>
      <c r="J158" s="938"/>
      <c r="K158" s="938"/>
      <c r="L158" s="938"/>
      <c r="M158" s="938"/>
      <c r="N158" s="938"/>
      <c r="O158" s="939">
        <f>+SUMPRODUCT(O159:O160,AC159:AC160)</f>
        <v>1</v>
      </c>
      <c r="P158" s="939">
        <f t="shared" ref="P158:R158" si="307">+SUMPRODUCT(P159:P160,AD159:AD160)</f>
        <v>1</v>
      </c>
      <c r="Q158" s="939">
        <f t="shared" si="307"/>
        <v>1</v>
      </c>
      <c r="R158" s="939">
        <f t="shared" si="307"/>
        <v>1</v>
      </c>
      <c r="S158" s="1178"/>
      <c r="T158" s="1178"/>
      <c r="U158" s="937"/>
      <c r="V158" s="937"/>
      <c r="W158" s="937"/>
      <c r="X158" s="1178"/>
      <c r="Y158" s="1102"/>
      <c r="Z158" s="940"/>
      <c r="AA158" s="939">
        <f>+SUMPRODUCT(AA159:AA160,AB159:AB160)</f>
        <v>1</v>
      </c>
      <c r="AB158" s="939">
        <v>0.4</v>
      </c>
      <c r="AC158" s="939">
        <v>0.45</v>
      </c>
      <c r="AD158" s="939">
        <v>0.45</v>
      </c>
      <c r="AE158" s="939">
        <v>0.4</v>
      </c>
      <c r="AF158" s="939">
        <v>0.4</v>
      </c>
      <c r="AG158" s="937">
        <f>SUM(AG159:AG160)</f>
        <v>175000000</v>
      </c>
      <c r="AH158" s="937">
        <f>SUM(AH159:AH160)</f>
        <v>143950000</v>
      </c>
      <c r="AI158" s="937">
        <f>SUM(AI159:AI160)</f>
        <v>162054527</v>
      </c>
      <c r="AJ158" s="937">
        <f>SUM(AJ159:AJ160)</f>
        <v>1073040332</v>
      </c>
      <c r="AK158" s="937">
        <f>SUM(AK159:AK160)</f>
        <v>175000000</v>
      </c>
      <c r="AL158" s="943">
        <f t="shared" si="249"/>
        <v>1</v>
      </c>
      <c r="AM158" s="937">
        <f>SUM(AM159:AM160)</f>
        <v>83350000</v>
      </c>
      <c r="AN158" s="937">
        <f>SUM(AN159:AN160)</f>
        <v>149235219</v>
      </c>
      <c r="AO158" s="937">
        <f>SUM(AO159:AO160)</f>
        <v>1029127560.02</v>
      </c>
      <c r="AP158" s="937">
        <f>SUM(AP159:AP160)</f>
        <v>174300037</v>
      </c>
      <c r="AQ158" s="944">
        <f t="shared" si="250"/>
        <v>0.99600021142857142</v>
      </c>
      <c r="AR158" s="945">
        <f t="shared" ref="AR158:AX158" si="308">SUM(AR159:AR160)</f>
        <v>43912771.980000019</v>
      </c>
      <c r="AS158" s="937">
        <f t="shared" si="308"/>
        <v>60600000</v>
      </c>
      <c r="AT158" s="937">
        <f t="shared" si="308"/>
        <v>60600000</v>
      </c>
      <c r="AU158" s="937">
        <f t="shared" si="308"/>
        <v>12819308</v>
      </c>
      <c r="AV158" s="937">
        <f t="shared" si="308"/>
        <v>8636378</v>
      </c>
      <c r="AW158" s="937">
        <f t="shared" si="308"/>
        <v>43912771.979999997</v>
      </c>
      <c r="AX158" s="937">
        <f t="shared" si="308"/>
        <v>40156900.979999997</v>
      </c>
      <c r="AY158" s="946">
        <f t="shared" si="246"/>
        <v>0.76318967099739898</v>
      </c>
      <c r="AZ158" s="937">
        <f t="shared" ref="AZ158" si="309">SUM(AZ159:AZ160)</f>
        <v>1605850000</v>
      </c>
      <c r="BA158" s="937">
        <f t="shared" si="253"/>
        <v>1554044859</v>
      </c>
      <c r="BB158" s="939">
        <f t="shared" si="274"/>
        <v>0.96773973845626926</v>
      </c>
      <c r="BC158" s="1005">
        <f t="shared" si="254"/>
        <v>1545406095</v>
      </c>
      <c r="BD158" s="939">
        <f t="shared" si="255"/>
        <v>0.96236017996699563</v>
      </c>
      <c r="BE158" s="945"/>
      <c r="BF158" s="945"/>
      <c r="BG158" s="945"/>
      <c r="BH158" s="945"/>
    </row>
    <row r="159" spans="1:61" s="908" customFormat="1" ht="47.4" customHeight="1">
      <c r="A159" s="1179" t="s">
        <v>1890</v>
      </c>
      <c r="B159" s="1180" t="s">
        <v>2419</v>
      </c>
      <c r="C159" s="980" t="s">
        <v>2108</v>
      </c>
      <c r="D159" s="1046">
        <v>23</v>
      </c>
      <c r="E159" s="1046">
        <v>23</v>
      </c>
      <c r="F159" s="1046">
        <v>23</v>
      </c>
      <c r="G159" s="1046">
        <v>23</v>
      </c>
      <c r="H159" s="1046">
        <v>23</v>
      </c>
      <c r="I159" s="949">
        <v>23</v>
      </c>
      <c r="J159" s="949">
        <v>23</v>
      </c>
      <c r="K159" s="949">
        <v>23</v>
      </c>
      <c r="L159" s="949"/>
      <c r="M159" s="949"/>
      <c r="N159" s="949"/>
      <c r="O159" s="951">
        <f t="shared" ref="O159:Q160" si="310">+IFERROR(IF((H159+L159)/D159&gt;=100%,100%,(H159+L159)/D159),0)</f>
        <v>1</v>
      </c>
      <c r="P159" s="973">
        <f t="shared" si="310"/>
        <v>1</v>
      </c>
      <c r="Q159" s="973">
        <f t="shared" si="310"/>
        <v>1</v>
      </c>
      <c r="R159" s="951">
        <f t="shared" ref="R159:R160" si="311">+IFERROR(IF(K159/G159&gt;=100%,100%,K159/G159),0)</f>
        <v>1</v>
      </c>
      <c r="S159" s="908" t="s">
        <v>2420</v>
      </c>
      <c r="T159" s="974">
        <v>45107</v>
      </c>
      <c r="U159" s="985"/>
      <c r="V159" s="985"/>
      <c r="W159" s="952"/>
      <c r="X159" s="976"/>
      <c r="Y159" s="956">
        <f t="shared" ref="Y159:Y160" si="312">SUM(D159:G159)</f>
        <v>92</v>
      </c>
      <c r="Z159" s="956">
        <f t="shared" ref="Z159:Z160" si="313">SUM(H159:N159)</f>
        <v>92</v>
      </c>
      <c r="AA159" s="1026">
        <f t="shared" ref="AA159:AA160" si="314">IF(Z159/Y159&gt;=100%,100%,Z159/Y159)</f>
        <v>1</v>
      </c>
      <c r="AB159" s="1092">
        <v>0.4</v>
      </c>
      <c r="AC159" s="1092">
        <v>1</v>
      </c>
      <c r="AD159" s="973">
        <v>1</v>
      </c>
      <c r="AE159" s="1092">
        <v>0.4</v>
      </c>
      <c r="AF159" s="951">
        <v>1</v>
      </c>
      <c r="AG159" s="1194">
        <v>175000000</v>
      </c>
      <c r="AH159" s="1194">
        <v>143950000</v>
      </c>
      <c r="AI159" s="1194">
        <v>162054527</v>
      </c>
      <c r="AJ159" s="1194">
        <v>173506563</v>
      </c>
      <c r="AK159" s="1194">
        <v>175000000</v>
      </c>
      <c r="AL159" s="1025">
        <f t="shared" si="249"/>
        <v>1</v>
      </c>
      <c r="AM159" s="1194">
        <v>83350000</v>
      </c>
      <c r="AN159" s="1194">
        <v>149235219</v>
      </c>
      <c r="AO159" s="1194">
        <v>167761213</v>
      </c>
      <c r="AP159" s="1194">
        <v>174300037</v>
      </c>
      <c r="AQ159" s="1026">
        <f t="shared" si="250"/>
        <v>0.99600021142857142</v>
      </c>
      <c r="AR159" s="958">
        <f t="shared" ref="AR159:AR160" si="315">+AJ159-AO159</f>
        <v>5745350</v>
      </c>
      <c r="AS159" s="1194">
        <v>60600000</v>
      </c>
      <c r="AT159" s="1194">
        <v>60600000</v>
      </c>
      <c r="AU159" s="1194">
        <v>12819308</v>
      </c>
      <c r="AV159" s="1194">
        <v>8636378</v>
      </c>
      <c r="AW159" s="1194">
        <v>5745350</v>
      </c>
      <c r="AX159" s="1194">
        <v>2414599</v>
      </c>
      <c r="AY159" s="1027">
        <f t="shared" si="246"/>
        <v>65.857835115354163</v>
      </c>
      <c r="AZ159" s="1071">
        <v>705850000</v>
      </c>
      <c r="BA159" s="1000">
        <f t="shared" si="253"/>
        <v>654511090</v>
      </c>
      <c r="BB159" s="973">
        <f t="shared" si="274"/>
        <v>0.92726654388326135</v>
      </c>
      <c r="BC159" s="1029">
        <f t="shared" si="254"/>
        <v>646297446</v>
      </c>
      <c r="BD159" s="973">
        <f t="shared" si="255"/>
        <v>0.91563001487568185</v>
      </c>
      <c r="BE159" s="1030"/>
      <c r="BF159" s="1030"/>
      <c r="BG159" s="953" t="s">
        <v>960</v>
      </c>
      <c r="BH159" s="1195" t="s">
        <v>2421</v>
      </c>
    </row>
    <row r="160" spans="1:61" s="908" customFormat="1" ht="36" hidden="1" customHeight="1">
      <c r="A160" s="1179" t="s">
        <v>2422</v>
      </c>
      <c r="B160" s="1183" t="s">
        <v>2423</v>
      </c>
      <c r="C160" s="980" t="s">
        <v>2108</v>
      </c>
      <c r="D160" s="1181">
        <v>0</v>
      </c>
      <c r="E160" s="1193">
        <v>0</v>
      </c>
      <c r="F160" s="1193">
        <v>1</v>
      </c>
      <c r="G160" s="1193">
        <v>0</v>
      </c>
      <c r="H160" s="1193">
        <v>0</v>
      </c>
      <c r="I160" s="949">
        <v>0</v>
      </c>
      <c r="J160" s="981">
        <v>0</v>
      </c>
      <c r="K160" s="981"/>
      <c r="L160" s="949"/>
      <c r="M160" s="949"/>
      <c r="N160" s="949">
        <v>1</v>
      </c>
      <c r="O160" s="951">
        <f t="shared" si="310"/>
        <v>0</v>
      </c>
      <c r="P160" s="1021">
        <f t="shared" si="310"/>
        <v>0</v>
      </c>
      <c r="Q160" s="973">
        <f t="shared" si="310"/>
        <v>1</v>
      </c>
      <c r="R160" s="951">
        <f t="shared" si="311"/>
        <v>0</v>
      </c>
      <c r="U160" s="985"/>
      <c r="V160" s="985"/>
      <c r="W160" s="952"/>
      <c r="X160" s="976"/>
      <c r="Y160" s="956">
        <f t="shared" si="312"/>
        <v>1</v>
      </c>
      <c r="Z160" s="956">
        <f t="shared" si="313"/>
        <v>1</v>
      </c>
      <c r="AA160" s="1026">
        <f t="shared" si="314"/>
        <v>1</v>
      </c>
      <c r="AB160" s="1092">
        <v>0.6</v>
      </c>
      <c r="AC160" s="1092">
        <v>0</v>
      </c>
      <c r="AD160" s="973">
        <v>0</v>
      </c>
      <c r="AE160" s="1092">
        <v>0.6</v>
      </c>
      <c r="AF160" s="951">
        <v>0</v>
      </c>
      <c r="AG160" s="1196">
        <v>0</v>
      </c>
      <c r="AH160" s="1196" t="s">
        <v>2120</v>
      </c>
      <c r="AI160" s="1196" t="s">
        <v>2120</v>
      </c>
      <c r="AJ160" s="1196">
        <v>899533769</v>
      </c>
      <c r="AK160" s="1196">
        <v>0</v>
      </c>
      <c r="AL160" s="1025" t="e">
        <f t="shared" si="249"/>
        <v>#DIV/0!</v>
      </c>
      <c r="AM160" s="1196" t="s">
        <v>2120</v>
      </c>
      <c r="AN160" s="1194">
        <v>0</v>
      </c>
      <c r="AO160" s="1194">
        <v>861366347.01999998</v>
      </c>
      <c r="AP160" s="1194"/>
      <c r="AQ160" s="1026" t="e">
        <f t="shared" si="250"/>
        <v>#DIV/0!</v>
      </c>
      <c r="AR160" s="958">
        <f t="shared" si="315"/>
        <v>38167421.980000019</v>
      </c>
      <c r="AS160" s="1196" t="s">
        <v>2120</v>
      </c>
      <c r="AT160" s="1194">
        <v>0</v>
      </c>
      <c r="AU160" s="1196"/>
      <c r="AV160" s="1196"/>
      <c r="AW160" s="1196">
        <v>38167421.979999997</v>
      </c>
      <c r="AX160" s="1196">
        <v>37742301.979999997</v>
      </c>
      <c r="AY160" s="1027">
        <f t="shared" si="246"/>
        <v>1.0521250557882191</v>
      </c>
      <c r="AZ160" s="1071">
        <v>900000000</v>
      </c>
      <c r="BA160" s="1000">
        <f t="shared" si="253"/>
        <v>899533769</v>
      </c>
      <c r="BB160" s="973">
        <f t="shared" si="274"/>
        <v>0.99948196555555557</v>
      </c>
      <c r="BC160" s="1029">
        <f t="shared" si="254"/>
        <v>899108649</v>
      </c>
      <c r="BD160" s="973">
        <f t="shared" si="255"/>
        <v>0.99900960999999999</v>
      </c>
      <c r="BE160" s="1030"/>
      <c r="BF160" s="1030"/>
      <c r="BG160" s="953" t="s">
        <v>1703</v>
      </c>
      <c r="BH160" s="1195" t="s">
        <v>2150</v>
      </c>
    </row>
    <row r="161" spans="1:61" s="908" customFormat="1" ht="47.4" customHeight="1">
      <c r="A161" s="936" t="s">
        <v>2424</v>
      </c>
      <c r="B161" s="937"/>
      <c r="C161" s="937"/>
      <c r="D161" s="938"/>
      <c r="E161" s="938"/>
      <c r="F161" s="938"/>
      <c r="G161" s="938"/>
      <c r="H161" s="938"/>
      <c r="I161" s="938"/>
      <c r="J161" s="938"/>
      <c r="K161" s="938"/>
      <c r="L161" s="938"/>
      <c r="M161" s="938"/>
      <c r="N161" s="938"/>
      <c r="O161" s="939">
        <f>+O162*AC162</f>
        <v>0.5</v>
      </c>
      <c r="P161" s="939">
        <f t="shared" ref="P161:R161" si="316">+P162*AD162</f>
        <v>1</v>
      </c>
      <c r="Q161" s="939">
        <f t="shared" si="316"/>
        <v>1</v>
      </c>
      <c r="R161" s="939">
        <f t="shared" si="316"/>
        <v>1</v>
      </c>
      <c r="S161" s="939"/>
      <c r="T161" s="939"/>
      <c r="U161" s="939"/>
      <c r="V161" s="939"/>
      <c r="W161" s="939"/>
      <c r="X161" s="939"/>
      <c r="Y161" s="939"/>
      <c r="Z161" s="939"/>
      <c r="AA161" s="939">
        <f>+AA162*AB162</f>
        <v>0.875</v>
      </c>
      <c r="AB161" s="939">
        <v>0.15</v>
      </c>
      <c r="AC161" s="939">
        <v>0.2</v>
      </c>
      <c r="AD161" s="939">
        <v>0.2</v>
      </c>
      <c r="AE161" s="939">
        <v>0.15</v>
      </c>
      <c r="AF161" s="939">
        <v>0.3</v>
      </c>
      <c r="AG161" s="937">
        <f>SUM(AG162)</f>
        <v>6100000000</v>
      </c>
      <c r="AH161" s="937">
        <f>SUM(AH162)</f>
        <v>25700000</v>
      </c>
      <c r="AI161" s="937">
        <f>SUM(AI162)</f>
        <v>98446960</v>
      </c>
      <c r="AJ161" s="937">
        <f>SUM(AJ162)</f>
        <v>99948316</v>
      </c>
      <c r="AK161" s="937">
        <f>SUM(AK162)</f>
        <v>6100000000</v>
      </c>
      <c r="AL161" s="943">
        <f t="shared" si="249"/>
        <v>1</v>
      </c>
      <c r="AM161" s="937">
        <f>SUM(AM162)</f>
        <v>25700000</v>
      </c>
      <c r="AN161" s="937">
        <f>SUM(AN162)</f>
        <v>79318503</v>
      </c>
      <c r="AO161" s="937">
        <f>SUM(AO162)</f>
        <v>97780035</v>
      </c>
      <c r="AP161" s="937">
        <f>SUM(AP162)</f>
        <v>4276433330</v>
      </c>
      <c r="AQ161" s="944">
        <f t="shared" si="250"/>
        <v>0.70105464426229513</v>
      </c>
      <c r="AR161" s="945">
        <f t="shared" ref="AR161:AX161" si="317">SUM(AR162)</f>
        <v>2168281</v>
      </c>
      <c r="AS161" s="937">
        <f t="shared" si="317"/>
        <v>0</v>
      </c>
      <c r="AT161" s="937">
        <f t="shared" si="317"/>
        <v>0</v>
      </c>
      <c r="AU161" s="937">
        <f t="shared" si="317"/>
        <v>19128457</v>
      </c>
      <c r="AV161" s="937">
        <f t="shared" si="317"/>
        <v>19082385</v>
      </c>
      <c r="AW161" s="937">
        <f t="shared" si="317"/>
        <v>2168281</v>
      </c>
      <c r="AX161" s="937">
        <f t="shared" si="317"/>
        <v>1241250</v>
      </c>
      <c r="AY161" s="946">
        <f t="shared" si="246"/>
        <v>1.1136005895914782</v>
      </c>
      <c r="AZ161" s="937">
        <f t="shared" ref="AZ161" si="318">SUM(AZ162)</f>
        <v>6400000000</v>
      </c>
      <c r="BA161" s="937">
        <f t="shared" si="253"/>
        <v>6324095276</v>
      </c>
      <c r="BB161" s="939">
        <f t="shared" si="274"/>
        <v>0.98813988687499998</v>
      </c>
      <c r="BC161" s="1005">
        <f t="shared" si="254"/>
        <v>4499555503</v>
      </c>
      <c r="BD161" s="939">
        <f t="shared" si="255"/>
        <v>0.70305554734374998</v>
      </c>
      <c r="BE161" s="945"/>
      <c r="BF161" s="945"/>
      <c r="BG161" s="945"/>
      <c r="BH161" s="945"/>
      <c r="BI161" s="908" t="s">
        <v>2103</v>
      </c>
    </row>
    <row r="162" spans="1:61" s="908" customFormat="1" ht="47.4" customHeight="1">
      <c r="A162" s="1189" t="s">
        <v>2425</v>
      </c>
      <c r="B162" s="1197" t="s">
        <v>2426</v>
      </c>
      <c r="C162" s="980" t="s">
        <v>2108</v>
      </c>
      <c r="D162" s="1046">
        <v>24</v>
      </c>
      <c r="E162" s="1046">
        <v>24</v>
      </c>
      <c r="F162" s="1046">
        <v>24</v>
      </c>
      <c r="G162" s="1046">
        <v>24</v>
      </c>
      <c r="H162" s="949">
        <v>0</v>
      </c>
      <c r="I162" s="949">
        <v>24</v>
      </c>
      <c r="J162" s="949">
        <v>24</v>
      </c>
      <c r="K162" s="949">
        <v>24</v>
      </c>
      <c r="L162" s="949">
        <v>12</v>
      </c>
      <c r="M162" s="949"/>
      <c r="N162" s="949"/>
      <c r="O162" s="951">
        <f>+IFERROR(IF((H162+L162)/D162&gt;=100%,100%,(H162+L162)/D162),0)</f>
        <v>0.5</v>
      </c>
      <c r="P162" s="973">
        <f>+IFERROR(IF((I162+M162)/E162&gt;=100%,100%,(I162+M162)/E162),0)</f>
        <v>1</v>
      </c>
      <c r="Q162" s="973">
        <f>+IFERROR(IF((J162+N162)/F162&gt;=100%,100%,(J162+N162)/F162),0)</f>
        <v>1</v>
      </c>
      <c r="R162" s="951">
        <f>+IFERROR(IF(K162/G162&gt;=100%,100%,K162/G162),0)</f>
        <v>1</v>
      </c>
      <c r="S162" s="908" t="s">
        <v>2427</v>
      </c>
      <c r="T162" s="974">
        <v>45107</v>
      </c>
      <c r="U162" s="985"/>
      <c r="V162" s="985"/>
      <c r="W162" s="952"/>
      <c r="X162" s="976"/>
      <c r="Y162" s="956">
        <f t="shared" ref="Y162" si="319">SUM(D162:G162)</f>
        <v>96</v>
      </c>
      <c r="Z162" s="956">
        <f t="shared" ref="Z162" si="320">SUM(H162:N162)</f>
        <v>84</v>
      </c>
      <c r="AA162" s="1026">
        <f t="shared" ref="AA162" si="321">IF(Z162/Y162&gt;=100%,100%,Z162/Y162)</f>
        <v>0.875</v>
      </c>
      <c r="AB162" s="1099">
        <v>1</v>
      </c>
      <c r="AC162" s="1099">
        <v>1</v>
      </c>
      <c r="AD162" s="951">
        <v>1</v>
      </c>
      <c r="AE162" s="951">
        <v>1</v>
      </c>
      <c r="AF162" s="951">
        <v>1</v>
      </c>
      <c r="AG162" s="1187">
        <v>6100000000</v>
      </c>
      <c r="AH162" s="1187">
        <v>25700000</v>
      </c>
      <c r="AI162" s="1187">
        <v>98446960</v>
      </c>
      <c r="AJ162" s="1187">
        <v>99948316</v>
      </c>
      <c r="AK162" s="1187">
        <v>6100000000</v>
      </c>
      <c r="AL162" s="959">
        <f t="shared" si="249"/>
        <v>1</v>
      </c>
      <c r="AM162" s="1187">
        <v>25700000</v>
      </c>
      <c r="AN162" s="1187">
        <v>79318503</v>
      </c>
      <c r="AO162" s="1187">
        <v>97780035</v>
      </c>
      <c r="AP162" s="1187">
        <v>4276433330</v>
      </c>
      <c r="AQ162" s="971">
        <f t="shared" si="250"/>
        <v>0.70105464426229513</v>
      </c>
      <c r="AR162" s="958">
        <f>+AJ162-AO162</f>
        <v>2168281</v>
      </c>
      <c r="AS162" s="1196" t="s">
        <v>2120</v>
      </c>
      <c r="AT162" s="1194">
        <v>0</v>
      </c>
      <c r="AU162" s="1196">
        <v>19128457</v>
      </c>
      <c r="AV162" s="1196">
        <v>19082385</v>
      </c>
      <c r="AW162" s="1196">
        <v>2168281</v>
      </c>
      <c r="AX162" s="1196">
        <v>1241250</v>
      </c>
      <c r="AY162" s="999">
        <f t="shared" si="246"/>
        <v>17.406554768500946</v>
      </c>
      <c r="AZ162" s="1084">
        <v>6400000000</v>
      </c>
      <c r="BA162" s="1000">
        <f t="shared" si="253"/>
        <v>6324095276</v>
      </c>
      <c r="BB162" s="973">
        <f t="shared" si="274"/>
        <v>0.98813988687499998</v>
      </c>
      <c r="BC162" s="1029">
        <f t="shared" si="254"/>
        <v>4499555503</v>
      </c>
      <c r="BD162" s="973">
        <f t="shared" si="255"/>
        <v>0.70305554734374998</v>
      </c>
      <c r="BE162" s="969"/>
      <c r="BF162" s="969"/>
      <c r="BG162" s="953" t="s">
        <v>1703</v>
      </c>
      <c r="BH162" s="1191" t="s">
        <v>2150</v>
      </c>
      <c r="BI162" s="908" t="s">
        <v>2103</v>
      </c>
    </row>
    <row r="163" spans="1:61" s="908" customFormat="1" ht="47.4" customHeight="1">
      <c r="A163" s="936" t="s">
        <v>2428</v>
      </c>
      <c r="B163" s="937"/>
      <c r="C163" s="937"/>
      <c r="D163" s="938"/>
      <c r="E163" s="938"/>
      <c r="F163" s="938"/>
      <c r="G163" s="938"/>
      <c r="H163" s="938"/>
      <c r="I163" s="938"/>
      <c r="J163" s="938"/>
      <c r="K163" s="938"/>
      <c r="L163" s="938"/>
      <c r="M163" s="938"/>
      <c r="N163" s="938"/>
      <c r="O163" s="939">
        <f>+O164*AC164</f>
        <v>1</v>
      </c>
      <c r="P163" s="939">
        <f t="shared" ref="P163:R163" si="322">+P164*AD164</f>
        <v>0</v>
      </c>
      <c r="Q163" s="939">
        <f t="shared" si="322"/>
        <v>1</v>
      </c>
      <c r="R163" s="939">
        <f t="shared" si="322"/>
        <v>1</v>
      </c>
      <c r="S163" s="1178"/>
      <c r="T163" s="1178"/>
      <c r="U163" s="937"/>
      <c r="V163" s="937"/>
      <c r="W163" s="937"/>
      <c r="X163" s="1178"/>
      <c r="Y163" s="1102"/>
      <c r="Z163" s="940"/>
      <c r="AA163" s="939">
        <f>+SUMPRODUCT(AA164:AA164,AB164:AB164)</f>
        <v>1</v>
      </c>
      <c r="AB163" s="939">
        <v>0.3</v>
      </c>
      <c r="AC163" s="939">
        <v>0.35</v>
      </c>
      <c r="AD163" s="939">
        <v>0</v>
      </c>
      <c r="AE163" s="939">
        <v>0.3</v>
      </c>
      <c r="AF163" s="939">
        <v>0.3</v>
      </c>
      <c r="AG163" s="937">
        <f>SUM(AG164)</f>
        <v>350000000</v>
      </c>
      <c r="AH163" s="937">
        <f>SUM(AH164)</f>
        <v>350000000</v>
      </c>
      <c r="AI163" s="937">
        <f>SUM(AI164)</f>
        <v>0</v>
      </c>
      <c r="AJ163" s="937">
        <f>SUM(AJ164)</f>
        <v>337660472</v>
      </c>
      <c r="AK163" s="937">
        <f>SUM(AK164)</f>
        <v>350000000</v>
      </c>
      <c r="AL163" s="943">
        <f t="shared" si="249"/>
        <v>1</v>
      </c>
      <c r="AM163" s="937">
        <f>SUM(AM164)</f>
        <v>0</v>
      </c>
      <c r="AN163" s="937">
        <f>SUM(AN164)</f>
        <v>0</v>
      </c>
      <c r="AO163" s="937">
        <f>SUM(AO164)</f>
        <v>25853102</v>
      </c>
      <c r="AP163" s="937">
        <f>SUM(AP164)</f>
        <v>147616655</v>
      </c>
      <c r="AQ163" s="944">
        <f t="shared" si="250"/>
        <v>0.42176187142857141</v>
      </c>
      <c r="AR163" s="945">
        <f t="shared" ref="AR163:AX163" si="323">SUM(AR164)</f>
        <v>311807370</v>
      </c>
      <c r="AS163" s="937">
        <f t="shared" si="323"/>
        <v>350000000</v>
      </c>
      <c r="AT163" s="937">
        <f t="shared" si="323"/>
        <v>259978348</v>
      </c>
      <c r="AU163" s="937">
        <f t="shared" si="323"/>
        <v>0</v>
      </c>
      <c r="AV163" s="937">
        <f t="shared" si="323"/>
        <v>0</v>
      </c>
      <c r="AW163" s="937">
        <f t="shared" si="323"/>
        <v>311807370</v>
      </c>
      <c r="AX163" s="937">
        <f t="shared" si="323"/>
        <v>311568463</v>
      </c>
      <c r="AY163" s="946">
        <f t="shared" si="246"/>
        <v>3.9808231601453168E-3</v>
      </c>
      <c r="AZ163" s="937">
        <f t="shared" ref="AZ163" si="324">SUM(AZ164)</f>
        <v>1044150000</v>
      </c>
      <c r="BA163" s="937">
        <f t="shared" si="253"/>
        <v>1037660472</v>
      </c>
      <c r="BB163" s="939">
        <f t="shared" si="274"/>
        <v>0.99378486998994398</v>
      </c>
      <c r="BC163" s="1005">
        <f t="shared" si="254"/>
        <v>745016568</v>
      </c>
      <c r="BD163" s="939">
        <f t="shared" si="255"/>
        <v>0.71351488579227118</v>
      </c>
      <c r="BE163" s="945"/>
      <c r="BF163" s="945"/>
      <c r="BG163" s="945"/>
      <c r="BH163" s="945"/>
    </row>
    <row r="164" spans="1:61" s="908" customFormat="1" ht="47.4" customHeight="1">
      <c r="A164" s="1179" t="s">
        <v>2429</v>
      </c>
      <c r="B164" s="1183" t="s">
        <v>2430</v>
      </c>
      <c r="C164" s="980" t="s">
        <v>2108</v>
      </c>
      <c r="D164" s="1046">
        <v>1</v>
      </c>
      <c r="E164" s="1046">
        <v>0</v>
      </c>
      <c r="F164" s="1046">
        <v>1</v>
      </c>
      <c r="G164" s="1046">
        <v>1</v>
      </c>
      <c r="H164" s="949">
        <v>0</v>
      </c>
      <c r="I164" s="949">
        <v>0</v>
      </c>
      <c r="J164" s="949">
        <v>0</v>
      </c>
      <c r="K164" s="949">
        <v>1</v>
      </c>
      <c r="L164" s="949">
        <v>1</v>
      </c>
      <c r="M164" s="949"/>
      <c r="N164" s="949">
        <v>1</v>
      </c>
      <c r="O164" s="951">
        <f>+IFERROR(IF((H164+L164)/D164&gt;=100%,100%,(H164+L164)/D164),0)</f>
        <v>1</v>
      </c>
      <c r="P164" s="1021">
        <f>+IFERROR(IF((I164+M164)/E164&gt;=100%,100%,(I164+M164)/E164),0)</f>
        <v>0</v>
      </c>
      <c r="Q164" s="973">
        <f>+IFERROR(IF((J164+N164)/F164&gt;=100%,100%,(J164+N164)/F164),0)</f>
        <v>1</v>
      </c>
      <c r="R164" s="951">
        <f>+IFERROR(IF(K164/G164&gt;=100%,100%,K164/G164),0)</f>
        <v>1</v>
      </c>
      <c r="S164" s="1198" t="s">
        <v>2431</v>
      </c>
      <c r="T164" s="974">
        <v>45107</v>
      </c>
      <c r="U164" s="985"/>
      <c r="V164" s="985"/>
      <c r="W164" s="952"/>
      <c r="X164" s="976"/>
      <c r="Y164" s="912">
        <f t="shared" ref="Y164" si="325">SUM(D164:G164)</f>
        <v>3</v>
      </c>
      <c r="Z164" s="956">
        <f t="shared" ref="Z164" si="326">SUM(H164:N164)</f>
        <v>3</v>
      </c>
      <c r="AA164" s="971">
        <f t="shared" ref="AA164" si="327">IF(Z164/Y164&gt;=100%,100%,Z164/Y164)</f>
        <v>1</v>
      </c>
      <c r="AB164" s="1099">
        <v>1</v>
      </c>
      <c r="AC164" s="1099">
        <v>1</v>
      </c>
      <c r="AD164" s="951">
        <v>0</v>
      </c>
      <c r="AE164" s="973">
        <v>1</v>
      </c>
      <c r="AF164" s="973">
        <v>1</v>
      </c>
      <c r="AG164" s="1084">
        <v>350000000</v>
      </c>
      <c r="AH164" s="1084">
        <v>350000000</v>
      </c>
      <c r="AI164" s="1084">
        <v>0</v>
      </c>
      <c r="AJ164" s="1084">
        <v>337660472</v>
      </c>
      <c r="AK164" s="1084">
        <v>350000000</v>
      </c>
      <c r="AL164" s="959">
        <f t="shared" si="249"/>
        <v>1</v>
      </c>
      <c r="AM164" s="1084">
        <v>0</v>
      </c>
      <c r="AN164" s="1084">
        <v>0</v>
      </c>
      <c r="AO164" s="1084">
        <v>25853102</v>
      </c>
      <c r="AP164" s="1084">
        <v>147616655</v>
      </c>
      <c r="AQ164" s="1083">
        <f t="shared" si="250"/>
        <v>0.42176187142857141</v>
      </c>
      <c r="AR164" s="958">
        <f>+AJ164-AO164</f>
        <v>311807370</v>
      </c>
      <c r="AS164" s="1084">
        <v>350000000</v>
      </c>
      <c r="AT164" s="1084">
        <v>259978348</v>
      </c>
      <c r="AU164" s="1084"/>
      <c r="AV164" s="1084"/>
      <c r="AW164" s="1084">
        <v>311807370</v>
      </c>
      <c r="AX164" s="1084">
        <v>311568463</v>
      </c>
      <c r="AY164" s="999">
        <f t="shared" si="246"/>
        <v>3.9808231601453168E-3</v>
      </c>
      <c r="AZ164" s="1084">
        <v>1044150000</v>
      </c>
      <c r="BA164" s="1000">
        <f t="shared" si="253"/>
        <v>1037660472</v>
      </c>
      <c r="BB164" s="973">
        <f t="shared" si="274"/>
        <v>0.99378486998994398</v>
      </c>
      <c r="BC164" s="1029">
        <f t="shared" si="254"/>
        <v>745016568</v>
      </c>
      <c r="BD164" s="973">
        <f t="shared" si="255"/>
        <v>0.71351488579227118</v>
      </c>
      <c r="BE164" s="969"/>
      <c r="BF164" s="969"/>
      <c r="BG164" s="953" t="s">
        <v>1703</v>
      </c>
      <c r="BH164" s="1195" t="s">
        <v>2421</v>
      </c>
    </row>
    <row r="165" spans="1:61" s="908" customFormat="1" ht="45" hidden="1" customHeight="1">
      <c r="A165" s="936" t="s">
        <v>2432</v>
      </c>
      <c r="B165" s="937"/>
      <c r="C165" s="937"/>
      <c r="D165" s="938"/>
      <c r="E165" s="938"/>
      <c r="F165" s="938"/>
      <c r="G165" s="938"/>
      <c r="H165" s="938"/>
      <c r="I165" s="938"/>
      <c r="J165" s="938"/>
      <c r="K165" s="938"/>
      <c r="L165" s="938"/>
      <c r="M165" s="938"/>
      <c r="N165" s="938"/>
      <c r="O165" s="939">
        <f>+O166*AC166</f>
        <v>0</v>
      </c>
      <c r="P165" s="939">
        <f t="shared" ref="P165:R165" si="328">+P166*AD166</f>
        <v>1</v>
      </c>
      <c r="Q165" s="939">
        <f t="shared" si="328"/>
        <v>1</v>
      </c>
      <c r="R165" s="939">
        <f t="shared" si="328"/>
        <v>0</v>
      </c>
      <c r="S165" s="1178"/>
      <c r="T165" s="1178"/>
      <c r="U165" s="937"/>
      <c r="V165" s="937"/>
      <c r="W165" s="937"/>
      <c r="X165" s="1178"/>
      <c r="Y165" s="1102"/>
      <c r="Z165" s="940">
        <f>SUM(H165:M165)</f>
        <v>0</v>
      </c>
      <c r="AA165" s="939">
        <f>+SUMPRODUCT(AA166:AA166,AB166:AB166)</f>
        <v>1</v>
      </c>
      <c r="AB165" s="939">
        <v>0.15</v>
      </c>
      <c r="AC165" s="939">
        <v>0</v>
      </c>
      <c r="AD165" s="939">
        <v>0.35</v>
      </c>
      <c r="AE165" s="939">
        <v>0.15</v>
      </c>
      <c r="AF165" s="939">
        <v>0</v>
      </c>
      <c r="AG165" s="937">
        <f>SUM(AG166)</f>
        <v>0</v>
      </c>
      <c r="AH165" s="937">
        <f>SUM(AH166)</f>
        <v>0</v>
      </c>
      <c r="AI165" s="937">
        <f>SUM(AI166)</f>
        <v>226428008</v>
      </c>
      <c r="AJ165" s="937">
        <f>SUM(AJ166)</f>
        <v>218939399</v>
      </c>
      <c r="AK165" s="937">
        <f>SUM(AK166)</f>
        <v>0</v>
      </c>
      <c r="AL165" s="943" t="e">
        <f t="shared" si="249"/>
        <v>#DIV/0!</v>
      </c>
      <c r="AM165" s="937">
        <f>SUM(AM166)</f>
        <v>0</v>
      </c>
      <c r="AN165" s="937">
        <f>SUM(AN166)</f>
        <v>218621182</v>
      </c>
      <c r="AO165" s="937">
        <f>SUM(AO166)</f>
        <v>193366300</v>
      </c>
      <c r="AP165" s="937"/>
      <c r="AQ165" s="944" t="e">
        <f t="shared" si="250"/>
        <v>#DIV/0!</v>
      </c>
      <c r="AR165" s="945">
        <f t="shared" ref="AR165:AX165" si="329">SUM(AR166)</f>
        <v>25573099</v>
      </c>
      <c r="AS165" s="937">
        <f t="shared" si="329"/>
        <v>0</v>
      </c>
      <c r="AT165" s="937">
        <f t="shared" si="329"/>
        <v>0</v>
      </c>
      <c r="AU165" s="937">
        <f t="shared" si="329"/>
        <v>7806826</v>
      </c>
      <c r="AV165" s="937">
        <f t="shared" si="329"/>
        <v>7550792</v>
      </c>
      <c r="AW165" s="937">
        <f t="shared" si="329"/>
        <v>25573099</v>
      </c>
      <c r="AX165" s="937">
        <f t="shared" si="329"/>
        <v>25409699</v>
      </c>
      <c r="AY165" s="946">
        <f t="shared" si="246"/>
        <v>12.18344569815336</v>
      </c>
      <c r="AZ165" s="937">
        <f t="shared" ref="AZ165" si="330">SUM(AZ166)</f>
        <v>455000000</v>
      </c>
      <c r="BA165" s="937">
        <f t="shared" si="253"/>
        <v>445367407</v>
      </c>
      <c r="BB165" s="939">
        <f t="shared" si="274"/>
        <v>0.97882946593406595</v>
      </c>
      <c r="BC165" s="1005">
        <f t="shared" si="254"/>
        <v>444947973</v>
      </c>
      <c r="BD165" s="939">
        <f t="shared" si="255"/>
        <v>0.97790763296703298</v>
      </c>
      <c r="BE165" s="945"/>
      <c r="BF165" s="945"/>
      <c r="BG165" s="945"/>
      <c r="BH165" s="945"/>
    </row>
    <row r="166" spans="1:61" s="908" customFormat="1" ht="69" hidden="1" customHeight="1">
      <c r="A166" s="1189" t="s">
        <v>2433</v>
      </c>
      <c r="B166" s="1197" t="s">
        <v>2434</v>
      </c>
      <c r="C166" s="980" t="s">
        <v>2108</v>
      </c>
      <c r="D166" s="1181">
        <v>0</v>
      </c>
      <c r="E166" s="1181">
        <v>1</v>
      </c>
      <c r="F166" s="1181">
        <v>1</v>
      </c>
      <c r="G166" s="1181">
        <v>0</v>
      </c>
      <c r="H166" s="949">
        <v>0</v>
      </c>
      <c r="I166" s="949">
        <v>1</v>
      </c>
      <c r="J166" s="949">
        <v>1</v>
      </c>
      <c r="K166" s="949"/>
      <c r="L166" s="949"/>
      <c r="M166" s="949"/>
      <c r="N166" s="949"/>
      <c r="O166" s="951">
        <f>+IFERROR(IF((H166+L166)/D166&gt;=100%,100%,(H166+L166)/D166),0)</f>
        <v>0</v>
      </c>
      <c r="P166" s="973">
        <f>+IFERROR(IF((I166+M166)/E166&gt;=100%,100%,(I166+M166)/E166),0)</f>
        <v>1</v>
      </c>
      <c r="Q166" s="973">
        <f>+IFERROR(IF((J166+N166)/F166&gt;=100%,100%,(J166+N166)/F166),0)</f>
        <v>1</v>
      </c>
      <c r="R166" s="951">
        <f>+IFERROR(IF(K166/G166&gt;=100%,100%,K166/G166),0)</f>
        <v>0</v>
      </c>
      <c r="U166" s="954"/>
      <c r="V166" s="912"/>
      <c r="W166" s="953"/>
      <c r="Y166" s="912">
        <f t="shared" ref="Y166" si="331">SUM(D166:G166)</f>
        <v>2</v>
      </c>
      <c r="Z166" s="956">
        <f t="shared" ref="Z166" si="332">SUM(H166:N166)</f>
        <v>2</v>
      </c>
      <c r="AA166" s="971">
        <f t="shared" ref="AA166" si="333">IF(Z166/Y166&gt;=100%,100%,Z166/Y166)</f>
        <v>1</v>
      </c>
      <c r="AB166" s="1099">
        <v>1</v>
      </c>
      <c r="AC166" s="1099">
        <v>0</v>
      </c>
      <c r="AD166" s="951">
        <v>1</v>
      </c>
      <c r="AE166" s="951">
        <v>1</v>
      </c>
      <c r="AF166" s="951">
        <v>0</v>
      </c>
      <c r="AG166" s="1187">
        <v>0</v>
      </c>
      <c r="AH166" s="1084">
        <v>0</v>
      </c>
      <c r="AI166" s="1187">
        <v>226428008</v>
      </c>
      <c r="AJ166" s="1187">
        <v>218939399</v>
      </c>
      <c r="AK166" s="1187"/>
      <c r="AL166" s="959" t="e">
        <f t="shared" si="249"/>
        <v>#DIV/0!</v>
      </c>
      <c r="AM166" s="1084">
        <v>0</v>
      </c>
      <c r="AN166" s="1187">
        <v>218621182</v>
      </c>
      <c r="AO166" s="1187">
        <v>193366300</v>
      </c>
      <c r="AP166" s="1187"/>
      <c r="AQ166" s="971" t="e">
        <f t="shared" si="250"/>
        <v>#DIV/0!</v>
      </c>
      <c r="AR166" s="958">
        <f>+AJ166-AO166</f>
        <v>25573099</v>
      </c>
      <c r="AS166" s="1084">
        <v>0</v>
      </c>
      <c r="AT166" s="1084">
        <v>0</v>
      </c>
      <c r="AU166" s="1084">
        <v>7806826</v>
      </c>
      <c r="AV166" s="1084">
        <v>7550792</v>
      </c>
      <c r="AW166" s="1084">
        <v>25573099</v>
      </c>
      <c r="AX166" s="1084">
        <v>25409699</v>
      </c>
      <c r="AY166" s="999">
        <f t="shared" si="246"/>
        <v>12.18344569815336</v>
      </c>
      <c r="AZ166" s="1084">
        <v>455000000</v>
      </c>
      <c r="BA166" s="1000">
        <f t="shared" si="253"/>
        <v>445367407</v>
      </c>
      <c r="BB166" s="973">
        <f t="shared" si="274"/>
        <v>0.97882946593406595</v>
      </c>
      <c r="BC166" s="1029">
        <f t="shared" si="254"/>
        <v>444947973</v>
      </c>
      <c r="BD166" s="973">
        <f t="shared" si="255"/>
        <v>0.97790763296703298</v>
      </c>
      <c r="BE166" s="969"/>
      <c r="BF166" s="969"/>
      <c r="BG166" s="953" t="s">
        <v>1703</v>
      </c>
      <c r="BH166" s="1199" t="s">
        <v>2150</v>
      </c>
    </row>
    <row r="167" spans="1:61" s="935" customFormat="1" ht="47.4" customHeight="1">
      <c r="A167" s="925" t="s">
        <v>2435</v>
      </c>
      <c r="B167" s="926"/>
      <c r="C167" s="926"/>
      <c r="D167" s="927"/>
      <c r="E167" s="927"/>
      <c r="F167" s="1108"/>
      <c r="G167" s="1108"/>
      <c r="H167" s="927"/>
      <c r="I167" s="927"/>
      <c r="J167" s="1108"/>
      <c r="K167" s="1108"/>
      <c r="L167" s="927"/>
      <c r="M167" s="927"/>
      <c r="N167" s="927"/>
      <c r="O167" s="928">
        <f>+(O168*AC168)+(O176*AC176)+(O178*AC178)+(O183*AC183)</f>
        <v>0.79437500000000005</v>
      </c>
      <c r="P167" s="928">
        <f t="shared" ref="P167:R167" si="334">+(P168*AD168)+(P176*AD176)+(P178*AD178)+(P183*AD183)</f>
        <v>0.83180065217391297</v>
      </c>
      <c r="Q167" s="928">
        <f t="shared" si="334"/>
        <v>0.69189000000000001</v>
      </c>
      <c r="R167" s="928">
        <f t="shared" si="334"/>
        <v>0.93013000000000012</v>
      </c>
      <c r="S167" s="1176"/>
      <c r="T167" s="1176"/>
      <c r="U167" s="926"/>
      <c r="V167" s="926"/>
      <c r="W167" s="926"/>
      <c r="X167" s="1176"/>
      <c r="Y167" s="1177"/>
      <c r="Z167" s="929"/>
      <c r="AA167" s="928">
        <f>+(AA168*AB168)+(AA176*AB176)+(AA178*AB178)+(AA183*AB183)</f>
        <v>0.82331373626373638</v>
      </c>
      <c r="AB167" s="928">
        <v>0.2</v>
      </c>
      <c r="AC167" s="928">
        <v>0.24</v>
      </c>
      <c r="AD167" s="928">
        <v>0.24</v>
      </c>
      <c r="AE167" s="928">
        <v>0.2</v>
      </c>
      <c r="AF167" s="928">
        <v>0.2</v>
      </c>
      <c r="AG167" s="926">
        <f>+AG168+AG176+AG178+AG183</f>
        <v>1890000000</v>
      </c>
      <c r="AH167" s="926">
        <f>+AH168+AH176+AH178+AH183</f>
        <v>244410750</v>
      </c>
      <c r="AI167" s="926">
        <f>+AI168+AI176+AI178+AI183</f>
        <v>1958456348.9400001</v>
      </c>
      <c r="AJ167" s="926">
        <f>+AJ168+AJ176+AJ178+AJ183</f>
        <v>1504902492.77</v>
      </c>
      <c r="AK167" s="926">
        <f>+AK168+AK176+AK178+AK183</f>
        <v>1889999999.3399999</v>
      </c>
      <c r="AL167" s="931">
        <f t="shared" si="249"/>
        <v>0.99999999965079356</v>
      </c>
      <c r="AM167" s="926">
        <f>+AM168+AM176+AM178+AM183</f>
        <v>146910750</v>
      </c>
      <c r="AN167" s="926">
        <f>+AN168+AN176+AN178+AN183</f>
        <v>1037690522.3</v>
      </c>
      <c r="AO167" s="926">
        <f>+AO168+AO176+AO178+AO183</f>
        <v>1126432229.22</v>
      </c>
      <c r="AP167" s="926">
        <f>+AP168+AP176+AP178+AP183</f>
        <v>895931775.34000003</v>
      </c>
      <c r="AQ167" s="1086">
        <f t="shared" si="250"/>
        <v>0.47403797637037037</v>
      </c>
      <c r="AR167" s="926">
        <f t="shared" ref="AR167:AX167" si="335">+AR168+AR176+AR178+AR183</f>
        <v>378470263.55000001</v>
      </c>
      <c r="AS167" s="926">
        <f t="shared" si="335"/>
        <v>97500000</v>
      </c>
      <c r="AT167" s="926">
        <f t="shared" si="335"/>
        <v>87000000</v>
      </c>
      <c r="AU167" s="926">
        <f t="shared" si="335"/>
        <v>920765826.63999999</v>
      </c>
      <c r="AV167" s="926">
        <f t="shared" si="335"/>
        <v>901851606</v>
      </c>
      <c r="AW167" s="926">
        <f t="shared" si="335"/>
        <v>378470263.55000001</v>
      </c>
      <c r="AX167" s="926">
        <f t="shared" si="335"/>
        <v>358471115.55000001</v>
      </c>
      <c r="AY167" s="934">
        <f t="shared" si="246"/>
        <v>6.7137900773657749E-2</v>
      </c>
      <c r="AZ167" s="926">
        <f t="shared" ref="AZ167" si="336">+AZ168+AZ176+AZ178+AZ183</f>
        <v>6769747465</v>
      </c>
      <c r="BA167" s="926">
        <f t="shared" si="253"/>
        <v>5597769591.0500002</v>
      </c>
      <c r="BB167" s="1087">
        <f t="shared" si="274"/>
        <v>0.82688011923499427</v>
      </c>
      <c r="BC167" s="1088">
        <f t="shared" si="254"/>
        <v>4554287998.4099998</v>
      </c>
      <c r="BD167" s="1087">
        <f t="shared" si="255"/>
        <v>0.67274119484603256</v>
      </c>
      <c r="BE167" s="926"/>
      <c r="BF167" s="926" t="s">
        <v>1694</v>
      </c>
      <c r="BG167" s="926"/>
      <c r="BH167" s="926"/>
    </row>
    <row r="168" spans="1:61" s="908" customFormat="1" ht="47.4" customHeight="1">
      <c r="A168" s="936" t="s">
        <v>2436</v>
      </c>
      <c r="B168" s="937"/>
      <c r="C168" s="937"/>
      <c r="D168" s="938"/>
      <c r="E168" s="938"/>
      <c r="F168" s="938"/>
      <c r="G168" s="938"/>
      <c r="H168" s="938"/>
      <c r="I168" s="938"/>
      <c r="J168" s="938"/>
      <c r="K168" s="938"/>
      <c r="L168" s="938"/>
      <c r="M168" s="938"/>
      <c r="N168" s="938"/>
      <c r="O168" s="939">
        <f>+SUMPRODUCT(O169:O175,AC169:AC175)</f>
        <v>0.74750000000000005</v>
      </c>
      <c r="P168" s="939">
        <f t="shared" ref="P168:R168" si="337">+SUMPRODUCT(P169:P175,AD169:AD175)</f>
        <v>0.64690000000000003</v>
      </c>
      <c r="Q168" s="939">
        <f t="shared" si="337"/>
        <v>0.33700000000000002</v>
      </c>
      <c r="R168" s="939">
        <f t="shared" si="337"/>
        <v>0.87700000000000011</v>
      </c>
      <c r="S168" s="1178"/>
      <c r="T168" s="1178"/>
      <c r="U168" s="937"/>
      <c r="V168" s="937"/>
      <c r="W168" s="937"/>
      <c r="X168" s="1178"/>
      <c r="Y168" s="1102"/>
      <c r="Z168" s="940"/>
      <c r="AA168" s="939">
        <f>+SUMPRODUCT(AA169:AA175,AB169:AB175)</f>
        <v>0.64325274725274728</v>
      </c>
      <c r="AB168" s="939">
        <v>0.45</v>
      </c>
      <c r="AC168" s="939">
        <v>0.45</v>
      </c>
      <c r="AD168" s="939">
        <v>0.45</v>
      </c>
      <c r="AE168" s="939">
        <v>0.45</v>
      </c>
      <c r="AF168" s="939">
        <v>0.45</v>
      </c>
      <c r="AG168" s="937">
        <f>SUM(AG169:AG175)</f>
        <v>990000000</v>
      </c>
      <c r="AH168" s="937">
        <f>SUM(AH169:AH175)</f>
        <v>117660750</v>
      </c>
      <c r="AI168" s="937">
        <f>SUM(AI169:AI175)</f>
        <v>482298283.94</v>
      </c>
      <c r="AJ168" s="937">
        <f>SUM(AJ169:AJ175)</f>
        <v>554785815.76999998</v>
      </c>
      <c r="AK168" s="937">
        <f>SUM(AK169:AK175)</f>
        <v>990000000</v>
      </c>
      <c r="AL168" s="943">
        <f t="shared" si="249"/>
        <v>1</v>
      </c>
      <c r="AM168" s="937">
        <f>SUM(AM169:AM175)</f>
        <v>66310750</v>
      </c>
      <c r="AN168" s="945">
        <f>SUM(AN169:AN175)</f>
        <v>306420659.30000001</v>
      </c>
      <c r="AO168" s="945">
        <f>SUM(AO169:AO175)</f>
        <v>513925057.22000003</v>
      </c>
      <c r="AP168" s="937">
        <f>SUM(AP169:AP175)</f>
        <v>601306634</v>
      </c>
      <c r="AQ168" s="944">
        <f t="shared" si="250"/>
        <v>0.60738043838383837</v>
      </c>
      <c r="AR168" s="945">
        <f t="shared" ref="AR168:AX168" si="338">SUM(AR169:AR175)</f>
        <v>40860758.550000004</v>
      </c>
      <c r="AS168" s="937">
        <f t="shared" si="338"/>
        <v>51350000</v>
      </c>
      <c r="AT168" s="937">
        <f t="shared" si="338"/>
        <v>47850000</v>
      </c>
      <c r="AU168" s="937">
        <f t="shared" si="338"/>
        <v>175877624.63999999</v>
      </c>
      <c r="AV168" s="937">
        <f t="shared" si="338"/>
        <v>159476974</v>
      </c>
      <c r="AW168" s="937">
        <f t="shared" si="338"/>
        <v>40860758.549999997</v>
      </c>
      <c r="AX168" s="937">
        <f t="shared" si="338"/>
        <v>31563771.550000001</v>
      </c>
      <c r="AY168" s="946">
        <f t="shared" si="246"/>
        <v>0.62186067762072916</v>
      </c>
      <c r="AZ168" s="937">
        <f t="shared" ref="AZ168" si="339">SUM(AZ169:AZ175)</f>
        <v>3167900000</v>
      </c>
      <c r="BA168" s="937">
        <f t="shared" si="253"/>
        <v>2144744849.71</v>
      </c>
      <c r="BB168" s="939">
        <f t="shared" si="274"/>
        <v>0.67702416418131883</v>
      </c>
      <c r="BC168" s="1005">
        <f t="shared" si="254"/>
        <v>1726853846.0699999</v>
      </c>
      <c r="BD168" s="939">
        <f t="shared" si="255"/>
        <v>0.54510996119511346</v>
      </c>
      <c r="BE168" s="945"/>
      <c r="BF168" s="945"/>
      <c r="BG168" s="945"/>
      <c r="BH168" s="945"/>
    </row>
    <row r="169" spans="1:61" s="908" customFormat="1" ht="47.4" customHeight="1">
      <c r="A169" s="1184" t="s">
        <v>2437</v>
      </c>
      <c r="B169" s="1180" t="s">
        <v>2438</v>
      </c>
      <c r="C169" s="980" t="s">
        <v>2108</v>
      </c>
      <c r="D169" s="1033">
        <v>8</v>
      </c>
      <c r="E169" s="1033">
        <v>8</v>
      </c>
      <c r="F169" s="1033">
        <v>8</v>
      </c>
      <c r="G169" s="1033">
        <v>2</v>
      </c>
      <c r="H169" s="949">
        <v>6</v>
      </c>
      <c r="I169" s="949">
        <v>6</v>
      </c>
      <c r="J169" s="949">
        <v>0</v>
      </c>
      <c r="K169" s="949">
        <v>2.4</v>
      </c>
      <c r="L169" s="949"/>
      <c r="M169" s="949"/>
      <c r="N169" s="949"/>
      <c r="O169" s="951">
        <f t="shared" ref="O169:Q175" si="340">+IFERROR(IF((H169+L169)/D169&gt;=100%,100%,(H169+L169)/D169),0)</f>
        <v>0.75</v>
      </c>
      <c r="P169" s="973">
        <f t="shared" si="340"/>
        <v>0.75</v>
      </c>
      <c r="Q169" s="973">
        <f t="shared" si="340"/>
        <v>0</v>
      </c>
      <c r="R169" s="951">
        <f t="shared" ref="R169:R175" si="341">+IFERROR(IF(K169/G169&gt;=100%,100%,K169/G169),0)</f>
        <v>1</v>
      </c>
      <c r="S169" s="908" t="s">
        <v>2439</v>
      </c>
      <c r="T169" s="974">
        <v>45107</v>
      </c>
      <c r="U169" s="985" t="s">
        <v>2115</v>
      </c>
      <c r="V169" s="985"/>
      <c r="W169" s="952" t="s">
        <v>2116</v>
      </c>
      <c r="X169" s="976" t="s">
        <v>2233</v>
      </c>
      <c r="Y169" s="985">
        <f t="shared" ref="Y169:Y175" si="342">SUM(D169:G169)</f>
        <v>26</v>
      </c>
      <c r="Z169" s="956">
        <f t="shared" ref="Z169:Z175" si="343">SUM(H169:N169)</f>
        <v>14.4</v>
      </c>
      <c r="AA169" s="1026">
        <f t="shared" ref="AA169:AA175" si="344">IF(Z169/Y169&gt;=100%,100%,Z169/Y169)</f>
        <v>0.55384615384615388</v>
      </c>
      <c r="AB169" s="1201">
        <v>0.4</v>
      </c>
      <c r="AC169" s="1201">
        <v>0.49</v>
      </c>
      <c r="AD169" s="973">
        <v>0.43</v>
      </c>
      <c r="AE169" s="951">
        <v>0.43</v>
      </c>
      <c r="AF169" s="951">
        <v>0.44</v>
      </c>
      <c r="AG169" s="1186">
        <v>355000000</v>
      </c>
      <c r="AH169" s="1202" t="s">
        <v>2120</v>
      </c>
      <c r="AI169" s="1186">
        <v>56419087.380000003</v>
      </c>
      <c r="AJ169" s="1186">
        <v>47743163.770000003</v>
      </c>
      <c r="AK169" s="1186">
        <v>355000000</v>
      </c>
      <c r="AL169" s="1025">
        <f t="shared" si="249"/>
        <v>1</v>
      </c>
      <c r="AM169" s="1202" t="s">
        <v>2120</v>
      </c>
      <c r="AN169" s="1186">
        <v>36245937.740000002</v>
      </c>
      <c r="AO169" s="1186">
        <v>36207519.219999999</v>
      </c>
      <c r="AP169" s="1186">
        <v>124908321</v>
      </c>
      <c r="AQ169" s="1026">
        <f t="shared" si="250"/>
        <v>0.3518544253521127</v>
      </c>
      <c r="AR169" s="958">
        <f t="shared" ref="AR169:AR175" si="345">+AJ169-AO169</f>
        <v>11535644.550000004</v>
      </c>
      <c r="AS169" s="1202" t="s">
        <v>2120</v>
      </c>
      <c r="AT169" s="1084">
        <v>0</v>
      </c>
      <c r="AU169" s="1202">
        <v>20173149.640000001</v>
      </c>
      <c r="AV169" s="1202">
        <v>19462674</v>
      </c>
      <c r="AW169" s="1202">
        <v>11535644.550000001</v>
      </c>
      <c r="AX169" s="1202">
        <v>11201767.550000001</v>
      </c>
      <c r="AY169" s="1027">
        <f t="shared" si="246"/>
        <v>31.075083320766847</v>
      </c>
      <c r="AZ169" s="1071">
        <v>1337300000</v>
      </c>
      <c r="BA169" s="1000">
        <f t="shared" si="253"/>
        <v>459162251.14999998</v>
      </c>
      <c r="BB169" s="973">
        <f t="shared" si="274"/>
        <v>0.34335022145367528</v>
      </c>
      <c r="BC169" s="1029">
        <f t="shared" si="254"/>
        <v>228026219.51000002</v>
      </c>
      <c r="BD169" s="973">
        <f t="shared" si="255"/>
        <v>0.17051239027144247</v>
      </c>
      <c r="BE169" s="1030"/>
      <c r="BF169" s="1030"/>
      <c r="BG169" s="953" t="s">
        <v>989</v>
      </c>
      <c r="BH169" s="1380" t="s">
        <v>2440</v>
      </c>
    </row>
    <row r="170" spans="1:61" s="908" customFormat="1" ht="40.5" hidden="1" customHeight="1">
      <c r="A170" s="1184" t="s">
        <v>2441</v>
      </c>
      <c r="B170" s="1180" t="s">
        <v>2442</v>
      </c>
      <c r="C170" s="980" t="s">
        <v>2108</v>
      </c>
      <c r="D170" s="1200">
        <v>0</v>
      </c>
      <c r="E170" s="1200">
        <v>0</v>
      </c>
      <c r="F170" s="1200">
        <v>1</v>
      </c>
      <c r="G170" s="1200">
        <v>0</v>
      </c>
      <c r="H170" s="949">
        <v>0</v>
      </c>
      <c r="I170" s="949">
        <v>0</v>
      </c>
      <c r="J170" s="949">
        <v>0</v>
      </c>
      <c r="K170" s="949"/>
      <c r="L170" s="949"/>
      <c r="M170" s="949"/>
      <c r="N170" s="949"/>
      <c r="O170" s="951">
        <f t="shared" si="340"/>
        <v>0</v>
      </c>
      <c r="P170" s="1021">
        <f t="shared" si="340"/>
        <v>0</v>
      </c>
      <c r="Q170" s="973">
        <f t="shared" si="340"/>
        <v>0</v>
      </c>
      <c r="R170" s="951">
        <f t="shared" si="341"/>
        <v>0</v>
      </c>
      <c r="S170" s="1198"/>
      <c r="T170" s="1198"/>
      <c r="U170" s="985"/>
      <c r="V170" s="985"/>
      <c r="W170" s="952"/>
      <c r="X170" s="976"/>
      <c r="Y170" s="985">
        <f t="shared" si="342"/>
        <v>1</v>
      </c>
      <c r="Z170" s="956">
        <f t="shared" si="343"/>
        <v>0</v>
      </c>
      <c r="AA170" s="1026">
        <f t="shared" si="344"/>
        <v>0</v>
      </c>
      <c r="AB170" s="1201">
        <v>0.05</v>
      </c>
      <c r="AC170" s="1201">
        <v>0</v>
      </c>
      <c r="AD170" s="973">
        <v>0</v>
      </c>
      <c r="AE170" s="1023">
        <v>0.08</v>
      </c>
      <c r="AF170" s="1023">
        <v>0</v>
      </c>
      <c r="AG170" s="1202">
        <v>0</v>
      </c>
      <c r="AH170" s="1202" t="s">
        <v>2120</v>
      </c>
      <c r="AI170" s="1202" t="s">
        <v>2120</v>
      </c>
      <c r="AJ170" s="1202">
        <v>119938087</v>
      </c>
      <c r="AK170" s="1202">
        <v>0</v>
      </c>
      <c r="AL170" s="1025" t="e">
        <f t="shared" si="249"/>
        <v>#DIV/0!</v>
      </c>
      <c r="AM170" s="1202" t="s">
        <v>2120</v>
      </c>
      <c r="AN170" s="1186">
        <v>0</v>
      </c>
      <c r="AO170" s="1186">
        <v>109572824</v>
      </c>
      <c r="AP170" s="1186"/>
      <c r="AQ170" s="1026" t="e">
        <f t="shared" si="250"/>
        <v>#DIV/0!</v>
      </c>
      <c r="AR170" s="958">
        <f t="shared" si="345"/>
        <v>10365263</v>
      </c>
      <c r="AS170" s="1202" t="s">
        <v>2120</v>
      </c>
      <c r="AT170" s="1084">
        <v>0</v>
      </c>
      <c r="AU170" s="1202"/>
      <c r="AV170" s="1202"/>
      <c r="AW170" s="1202">
        <v>10365263</v>
      </c>
      <c r="AX170" s="1202">
        <v>10104710</v>
      </c>
      <c r="AY170" s="1027">
        <f t="shared" si="246"/>
        <v>3.0451491245325855</v>
      </c>
      <c r="AZ170" s="1071">
        <v>120000000</v>
      </c>
      <c r="BA170" s="1000">
        <f t="shared" si="253"/>
        <v>119938087</v>
      </c>
      <c r="BB170" s="973">
        <f t="shared" si="274"/>
        <v>0.99948405833333331</v>
      </c>
      <c r="BC170" s="1029">
        <f t="shared" si="254"/>
        <v>119677534</v>
      </c>
      <c r="BD170" s="973">
        <f t="shared" si="255"/>
        <v>0.99731278333333329</v>
      </c>
      <c r="BE170" s="1030"/>
      <c r="BF170" s="1030"/>
      <c r="BG170" s="953" t="s">
        <v>1703</v>
      </c>
      <c r="BH170" s="1370"/>
    </row>
    <row r="171" spans="1:61" s="908" customFormat="1" ht="47.4" customHeight="1">
      <c r="A171" s="1184" t="s">
        <v>2443</v>
      </c>
      <c r="B171" s="1180" t="s">
        <v>2444</v>
      </c>
      <c r="C171" s="980" t="s">
        <v>2108</v>
      </c>
      <c r="D171" s="1033">
        <v>6</v>
      </c>
      <c r="E171" s="1033">
        <v>12</v>
      </c>
      <c r="F171" s="1033">
        <v>12</v>
      </c>
      <c r="G171" s="1033">
        <v>12</v>
      </c>
      <c r="H171" s="949">
        <v>0</v>
      </c>
      <c r="I171" s="949">
        <v>3</v>
      </c>
      <c r="J171" s="949">
        <v>6</v>
      </c>
      <c r="K171" s="949">
        <v>0</v>
      </c>
      <c r="L171" s="949"/>
      <c r="M171" s="949"/>
      <c r="N171" s="949"/>
      <c r="O171" s="951">
        <f t="shared" si="340"/>
        <v>0</v>
      </c>
      <c r="P171" s="973">
        <f t="shared" si="340"/>
        <v>0.25</v>
      </c>
      <c r="Q171" s="973">
        <f t="shared" si="340"/>
        <v>0.5</v>
      </c>
      <c r="R171" s="951">
        <f t="shared" si="341"/>
        <v>0</v>
      </c>
      <c r="S171" s="908" t="s">
        <v>2445</v>
      </c>
      <c r="T171" s="974">
        <v>45107</v>
      </c>
      <c r="U171" s="975"/>
      <c r="V171" s="948"/>
      <c r="W171" s="1203"/>
      <c r="X171" s="948"/>
      <c r="Y171" s="985">
        <f t="shared" si="342"/>
        <v>42</v>
      </c>
      <c r="Z171" s="956">
        <f t="shared" si="343"/>
        <v>9</v>
      </c>
      <c r="AA171" s="1026">
        <f t="shared" si="344"/>
        <v>0.21428571428571427</v>
      </c>
      <c r="AB171" s="1201">
        <v>0.05</v>
      </c>
      <c r="AC171" s="1201">
        <v>0.13</v>
      </c>
      <c r="AD171" s="973">
        <v>0.08</v>
      </c>
      <c r="AE171" s="1023">
        <v>0.08</v>
      </c>
      <c r="AF171" s="1023">
        <v>0.09</v>
      </c>
      <c r="AG171" s="1186">
        <v>25000000</v>
      </c>
      <c r="AH171" s="1186">
        <v>18610750</v>
      </c>
      <c r="AI171" s="1186">
        <v>14689393</v>
      </c>
      <c r="AJ171" s="1186">
        <v>2387079</v>
      </c>
      <c r="AK171" s="1186">
        <v>25000000</v>
      </c>
      <c r="AL171" s="1025">
        <f t="shared" si="249"/>
        <v>1</v>
      </c>
      <c r="AM171" s="1186">
        <v>18610750</v>
      </c>
      <c r="AN171" s="1186">
        <v>1001842</v>
      </c>
      <c r="AO171" s="1186">
        <v>1720148</v>
      </c>
      <c r="AP171" s="1186">
        <v>2500000</v>
      </c>
      <c r="AQ171" s="1026">
        <f t="shared" si="250"/>
        <v>0.1</v>
      </c>
      <c r="AR171" s="958">
        <f t="shared" si="345"/>
        <v>666931</v>
      </c>
      <c r="AS171" s="1202" t="s">
        <v>2120</v>
      </c>
      <c r="AT171" s="1084">
        <v>0</v>
      </c>
      <c r="AU171" s="1202">
        <v>13687551</v>
      </c>
      <c r="AV171" s="1202">
        <v>658504</v>
      </c>
      <c r="AW171" s="1202">
        <v>666931</v>
      </c>
      <c r="AX171" s="1202">
        <v>183011</v>
      </c>
      <c r="AY171" s="1027">
        <f t="shared" si="246"/>
        <v>16.795991714285286</v>
      </c>
      <c r="AZ171" s="1071">
        <v>100000000</v>
      </c>
      <c r="BA171" s="1000">
        <f t="shared" si="253"/>
        <v>60687222</v>
      </c>
      <c r="BB171" s="973">
        <f t="shared" si="274"/>
        <v>0.60687221999999996</v>
      </c>
      <c r="BC171" s="1029">
        <f t="shared" si="254"/>
        <v>24674255</v>
      </c>
      <c r="BD171" s="973">
        <f t="shared" si="255"/>
        <v>0.24674255</v>
      </c>
      <c r="BE171" s="1030"/>
      <c r="BF171" s="1030"/>
      <c r="BG171" s="953" t="s">
        <v>1062</v>
      </c>
      <c r="BH171" s="1370"/>
    </row>
    <row r="172" spans="1:61" s="908" customFormat="1" ht="90.75" hidden="1" customHeight="1">
      <c r="A172" s="1184" t="s">
        <v>2446</v>
      </c>
      <c r="B172" s="1204" t="s">
        <v>2447</v>
      </c>
      <c r="C172" s="980" t="s">
        <v>2108</v>
      </c>
      <c r="D172" s="1200">
        <v>0</v>
      </c>
      <c r="E172" s="1200">
        <v>1</v>
      </c>
      <c r="F172" s="1200">
        <v>1</v>
      </c>
      <c r="G172" s="1200">
        <v>0</v>
      </c>
      <c r="H172" s="949">
        <v>0</v>
      </c>
      <c r="I172" s="949">
        <v>0</v>
      </c>
      <c r="J172" s="949">
        <v>0</v>
      </c>
      <c r="K172" s="949"/>
      <c r="L172" s="949"/>
      <c r="M172" s="949"/>
      <c r="N172" s="949"/>
      <c r="O172" s="951">
        <f t="shared" si="340"/>
        <v>0</v>
      </c>
      <c r="P172" s="973">
        <f t="shared" si="340"/>
        <v>0</v>
      </c>
      <c r="Q172" s="973">
        <f t="shared" si="340"/>
        <v>0</v>
      </c>
      <c r="R172" s="951">
        <f t="shared" si="341"/>
        <v>0</v>
      </c>
      <c r="S172" s="1198"/>
      <c r="T172" s="1198"/>
      <c r="U172" s="984"/>
      <c r="V172" s="985"/>
      <c r="W172" s="952"/>
      <c r="X172" s="1198"/>
      <c r="Y172" s="985">
        <f t="shared" si="342"/>
        <v>2</v>
      </c>
      <c r="Z172" s="956">
        <f t="shared" si="343"/>
        <v>0</v>
      </c>
      <c r="AA172" s="1026">
        <f t="shared" si="344"/>
        <v>0</v>
      </c>
      <c r="AB172" s="1201">
        <v>0.05</v>
      </c>
      <c r="AC172" s="1201">
        <v>0</v>
      </c>
      <c r="AD172" s="973">
        <v>0.08</v>
      </c>
      <c r="AE172" s="1023">
        <v>0.08</v>
      </c>
      <c r="AF172" s="951">
        <v>0</v>
      </c>
      <c r="AG172" s="1205">
        <v>0</v>
      </c>
      <c r="AH172" s="1202" t="s">
        <v>2120</v>
      </c>
      <c r="AI172" s="1186">
        <v>41975169</v>
      </c>
      <c r="AJ172" s="1186">
        <v>12452085</v>
      </c>
      <c r="AK172" s="1186">
        <v>0</v>
      </c>
      <c r="AL172" s="1025" t="e">
        <f t="shared" si="249"/>
        <v>#DIV/0!</v>
      </c>
      <c r="AM172" s="1202" t="s">
        <v>2120</v>
      </c>
      <c r="AN172" s="1186">
        <v>16120695</v>
      </c>
      <c r="AO172" s="1186">
        <v>10295874</v>
      </c>
      <c r="AP172" s="1186"/>
      <c r="AQ172" s="1026" t="e">
        <f t="shared" si="250"/>
        <v>#DIV/0!</v>
      </c>
      <c r="AR172" s="958">
        <f t="shared" si="345"/>
        <v>2156211</v>
      </c>
      <c r="AS172" s="1202" t="s">
        <v>2120</v>
      </c>
      <c r="AT172" s="1084">
        <v>0</v>
      </c>
      <c r="AU172" s="1202">
        <v>25854474</v>
      </c>
      <c r="AV172" s="1202">
        <v>23595202</v>
      </c>
      <c r="AW172" s="1202">
        <v>2156211</v>
      </c>
      <c r="AX172" s="1202">
        <v>1261754</v>
      </c>
      <c r="AY172" s="1027">
        <f t="shared" si="246"/>
        <v>4.6863270802347268</v>
      </c>
      <c r="AZ172" s="1071">
        <v>105000000</v>
      </c>
      <c r="BA172" s="1000">
        <f t="shared" si="253"/>
        <v>54427254</v>
      </c>
      <c r="BB172" s="973">
        <f t="shared" si="274"/>
        <v>0.5183548</v>
      </c>
      <c r="BC172" s="1029">
        <f t="shared" si="254"/>
        <v>51273525</v>
      </c>
      <c r="BD172" s="973">
        <f t="shared" si="255"/>
        <v>0.48831928571428573</v>
      </c>
      <c r="BE172" s="1030"/>
      <c r="BF172" s="1030"/>
      <c r="BG172" s="953" t="s">
        <v>1703</v>
      </c>
      <c r="BH172" s="1370"/>
    </row>
    <row r="173" spans="1:61" s="908" customFormat="1" ht="47.4" customHeight="1">
      <c r="A173" s="1184" t="s">
        <v>2448</v>
      </c>
      <c r="B173" s="1192" t="s">
        <v>2449</v>
      </c>
      <c r="C173" s="948" t="s">
        <v>1056</v>
      </c>
      <c r="D173" s="1219">
        <v>1</v>
      </c>
      <c r="E173" s="1219">
        <v>1</v>
      </c>
      <c r="F173" s="1219">
        <v>1</v>
      </c>
      <c r="G173" s="1219">
        <v>1</v>
      </c>
      <c r="H173" s="1219">
        <v>1</v>
      </c>
      <c r="I173" s="951">
        <v>0.68</v>
      </c>
      <c r="J173" s="957">
        <v>0.9</v>
      </c>
      <c r="K173" s="957">
        <v>0.9</v>
      </c>
      <c r="L173" s="949"/>
      <c r="M173" s="949"/>
      <c r="N173" s="949"/>
      <c r="O173" s="951">
        <f t="shared" si="340"/>
        <v>1</v>
      </c>
      <c r="P173" s="973">
        <f t="shared" si="340"/>
        <v>0.68</v>
      </c>
      <c r="Q173" s="973">
        <f t="shared" si="340"/>
        <v>0.9</v>
      </c>
      <c r="R173" s="951">
        <f t="shared" si="341"/>
        <v>0.9</v>
      </c>
      <c r="S173" s="908" t="s">
        <v>2450</v>
      </c>
      <c r="T173" s="974">
        <v>45107</v>
      </c>
      <c r="U173" s="985"/>
      <c r="V173" s="985"/>
      <c r="W173" s="952"/>
      <c r="X173" s="976"/>
      <c r="Y173" s="973">
        <f t="shared" si="342"/>
        <v>4</v>
      </c>
      <c r="Z173" s="977">
        <f t="shared" si="343"/>
        <v>3.48</v>
      </c>
      <c r="AA173" s="1026">
        <f t="shared" si="344"/>
        <v>0.87</v>
      </c>
      <c r="AB173" s="1201">
        <v>0.3</v>
      </c>
      <c r="AC173" s="1201">
        <v>0.38</v>
      </c>
      <c r="AD173" s="973">
        <v>0.33</v>
      </c>
      <c r="AE173" s="1023">
        <v>0.33</v>
      </c>
      <c r="AF173" s="1023">
        <v>0.33</v>
      </c>
      <c r="AG173" s="1186">
        <v>260000000</v>
      </c>
      <c r="AH173" s="1186">
        <v>99050000</v>
      </c>
      <c r="AI173" s="1186">
        <v>249214635</v>
      </c>
      <c r="AJ173" s="1186">
        <v>372265401</v>
      </c>
      <c r="AK173" s="1186">
        <v>260000000</v>
      </c>
      <c r="AL173" s="1025">
        <f t="shared" si="249"/>
        <v>1</v>
      </c>
      <c r="AM173" s="1186">
        <v>47700000</v>
      </c>
      <c r="AN173" s="1186">
        <v>239684150</v>
      </c>
      <c r="AO173" s="1186">
        <v>356128692</v>
      </c>
      <c r="AP173" s="1186">
        <v>239481658</v>
      </c>
      <c r="AQ173" s="1026">
        <f t="shared" si="250"/>
        <v>0.92108330000000005</v>
      </c>
      <c r="AR173" s="958">
        <f t="shared" si="345"/>
        <v>16136709</v>
      </c>
      <c r="AS173" s="1186">
        <v>51350000</v>
      </c>
      <c r="AT173" s="1186">
        <v>47850000</v>
      </c>
      <c r="AU173" s="1186">
        <v>9530485</v>
      </c>
      <c r="AV173" s="1186">
        <v>9323735</v>
      </c>
      <c r="AW173" s="1186">
        <v>16136709</v>
      </c>
      <c r="AX173" s="1186">
        <v>8812529</v>
      </c>
      <c r="AY173" s="1027">
        <f t="shared" si="246"/>
        <v>1.1341284025137963E-2</v>
      </c>
      <c r="AZ173" s="1071">
        <v>1035600000</v>
      </c>
      <c r="BA173" s="1000">
        <f t="shared" si="253"/>
        <v>980530036</v>
      </c>
      <c r="BB173" s="973">
        <f t="shared" si="274"/>
        <v>0.94682313248358441</v>
      </c>
      <c r="BC173" s="1029">
        <f t="shared" si="254"/>
        <v>948980764</v>
      </c>
      <c r="BD173" s="973">
        <f t="shared" si="255"/>
        <v>0.91635840478949404</v>
      </c>
      <c r="BE173" s="1030"/>
      <c r="BF173" s="1030"/>
      <c r="BG173" s="953" t="s">
        <v>1703</v>
      </c>
      <c r="BH173" s="1188" t="s">
        <v>2440</v>
      </c>
    </row>
    <row r="174" spans="1:61" s="908" customFormat="1" ht="47.4" customHeight="1">
      <c r="A174" s="1184" t="s">
        <v>2451</v>
      </c>
      <c r="B174" s="1192" t="s">
        <v>2452</v>
      </c>
      <c r="C174" s="980" t="s">
        <v>2108</v>
      </c>
      <c r="D174" s="1033">
        <v>0</v>
      </c>
      <c r="E174" s="1033">
        <v>0</v>
      </c>
      <c r="F174" s="1033">
        <v>0</v>
      </c>
      <c r="G174" s="1033">
        <v>1</v>
      </c>
      <c r="H174" s="949">
        <v>0</v>
      </c>
      <c r="I174" s="949">
        <v>0</v>
      </c>
      <c r="J174" s="949">
        <v>0</v>
      </c>
      <c r="K174" s="949">
        <v>1</v>
      </c>
      <c r="L174" s="949"/>
      <c r="M174" s="949"/>
      <c r="N174" s="949"/>
      <c r="O174" s="951">
        <f t="shared" si="340"/>
        <v>0</v>
      </c>
      <c r="P174" s="1021">
        <f t="shared" si="340"/>
        <v>0</v>
      </c>
      <c r="Q174" s="951">
        <f t="shared" si="340"/>
        <v>0</v>
      </c>
      <c r="R174" s="951">
        <f t="shared" si="341"/>
        <v>1</v>
      </c>
      <c r="S174" s="1198" t="s">
        <v>2453</v>
      </c>
      <c r="T174" s="974">
        <v>45107</v>
      </c>
      <c r="U174" s="985" t="s">
        <v>2115</v>
      </c>
      <c r="V174" s="985"/>
      <c r="W174" s="952" t="s">
        <v>2116</v>
      </c>
      <c r="X174" s="976" t="s">
        <v>2233</v>
      </c>
      <c r="Y174" s="985">
        <f t="shared" si="342"/>
        <v>1</v>
      </c>
      <c r="Z174" s="956">
        <f t="shared" si="343"/>
        <v>1</v>
      </c>
      <c r="AA174" s="1026">
        <f t="shared" si="344"/>
        <v>1</v>
      </c>
      <c r="AB174" s="1201">
        <v>0.1</v>
      </c>
      <c r="AC174" s="1201">
        <v>0</v>
      </c>
      <c r="AD174" s="973">
        <v>0</v>
      </c>
      <c r="AE174" s="951">
        <v>0</v>
      </c>
      <c r="AF174" s="951">
        <v>0.14000000000000001</v>
      </c>
      <c r="AG174" s="1186">
        <v>350000000</v>
      </c>
      <c r="AH174" s="1202" t="s">
        <v>2120</v>
      </c>
      <c r="AI174" s="1202" t="s">
        <v>2120</v>
      </c>
      <c r="AJ174" s="1202"/>
      <c r="AK174" s="1186">
        <v>350000000</v>
      </c>
      <c r="AL174" s="1025">
        <f t="shared" si="249"/>
        <v>1</v>
      </c>
      <c r="AM174" s="1202" t="s">
        <v>2120</v>
      </c>
      <c r="AN174" s="1186">
        <v>0</v>
      </c>
      <c r="AO174" s="1186"/>
      <c r="AP174" s="1186">
        <v>234416655</v>
      </c>
      <c r="AQ174" s="1026">
        <f t="shared" si="250"/>
        <v>0.66976187142857146</v>
      </c>
      <c r="AR174" s="958">
        <f t="shared" si="345"/>
        <v>0</v>
      </c>
      <c r="AS174" s="1202" t="s">
        <v>2120</v>
      </c>
      <c r="AT174" s="1084">
        <v>0</v>
      </c>
      <c r="AU174" s="1202"/>
      <c r="AV174" s="1202"/>
      <c r="AW174" s="1202"/>
      <c r="AX174" s="1202"/>
      <c r="AY174" s="1027" t="e">
        <f t="shared" si="246"/>
        <v>#DIV/0!</v>
      </c>
      <c r="AZ174" s="1071">
        <v>350000000</v>
      </c>
      <c r="BA174" s="1000">
        <f t="shared" si="253"/>
        <v>350000000</v>
      </c>
      <c r="BB174" s="973">
        <f t="shared" si="274"/>
        <v>1</v>
      </c>
      <c r="BC174" s="1029">
        <f t="shared" si="254"/>
        <v>234416655</v>
      </c>
      <c r="BD174" s="973">
        <f t="shared" si="255"/>
        <v>0.66976187142857146</v>
      </c>
      <c r="BE174" s="1030"/>
      <c r="BF174" s="1030"/>
      <c r="BG174" s="953" t="s">
        <v>1703</v>
      </c>
      <c r="BH174" s="1188" t="s">
        <v>2454</v>
      </c>
    </row>
    <row r="175" spans="1:61" s="908" customFormat="1" ht="70.5" hidden="1" customHeight="1">
      <c r="A175" s="1184" t="s">
        <v>2455</v>
      </c>
      <c r="B175" s="1192" t="s">
        <v>2456</v>
      </c>
      <c r="C175" s="980" t="s">
        <v>2108</v>
      </c>
      <c r="D175" s="1200">
        <v>0</v>
      </c>
      <c r="E175" s="1200">
        <v>1</v>
      </c>
      <c r="F175" s="1200">
        <v>0</v>
      </c>
      <c r="G175" s="1200">
        <v>0</v>
      </c>
      <c r="H175" s="949">
        <v>0</v>
      </c>
      <c r="I175" s="949">
        <v>0</v>
      </c>
      <c r="J175" s="949">
        <v>0</v>
      </c>
      <c r="K175" s="949"/>
      <c r="L175" s="949"/>
      <c r="M175" s="949">
        <v>1</v>
      </c>
      <c r="N175" s="949"/>
      <c r="O175" s="951">
        <f t="shared" si="340"/>
        <v>0</v>
      </c>
      <c r="P175" s="973">
        <f t="shared" si="340"/>
        <v>1</v>
      </c>
      <c r="Q175" s="951">
        <f t="shared" si="340"/>
        <v>0</v>
      </c>
      <c r="R175" s="951">
        <f t="shared" si="341"/>
        <v>0</v>
      </c>
      <c r="S175" s="1198"/>
      <c r="T175" s="1198"/>
      <c r="U175" s="984"/>
      <c r="V175" s="985"/>
      <c r="W175" s="952"/>
      <c r="X175" s="1198"/>
      <c r="Y175" s="985">
        <f t="shared" si="342"/>
        <v>1</v>
      </c>
      <c r="Z175" s="956">
        <f t="shared" si="343"/>
        <v>1</v>
      </c>
      <c r="AA175" s="1026">
        <f t="shared" si="344"/>
        <v>1</v>
      </c>
      <c r="AB175" s="1201">
        <v>0.05</v>
      </c>
      <c r="AC175" s="1201">
        <v>0</v>
      </c>
      <c r="AD175" s="973">
        <v>0.08</v>
      </c>
      <c r="AE175" s="951">
        <v>0</v>
      </c>
      <c r="AF175" s="951">
        <v>0</v>
      </c>
      <c r="AG175" s="1205">
        <v>0</v>
      </c>
      <c r="AH175" s="1202" t="s">
        <v>2120</v>
      </c>
      <c r="AI175" s="1186">
        <v>119999999.56</v>
      </c>
      <c r="AJ175" s="1186">
        <v>0</v>
      </c>
      <c r="AK175" s="1186">
        <v>0</v>
      </c>
      <c r="AL175" s="1025" t="e">
        <f t="shared" si="249"/>
        <v>#DIV/0!</v>
      </c>
      <c r="AM175" s="1202" t="s">
        <v>2120</v>
      </c>
      <c r="AN175" s="1186">
        <v>13368034.560000001</v>
      </c>
      <c r="AO175" s="1186"/>
      <c r="AP175" s="1186"/>
      <c r="AQ175" s="1026" t="e">
        <f t="shared" si="250"/>
        <v>#DIV/0!</v>
      </c>
      <c r="AR175" s="958">
        <f t="shared" si="345"/>
        <v>0</v>
      </c>
      <c r="AS175" s="1202" t="s">
        <v>2120</v>
      </c>
      <c r="AT175" s="1084">
        <v>0</v>
      </c>
      <c r="AU175" s="1202">
        <v>106631965</v>
      </c>
      <c r="AV175" s="1202">
        <v>106436859</v>
      </c>
      <c r="AW175" s="1202"/>
      <c r="AX175" s="1202"/>
      <c r="AY175" s="1027" t="e">
        <f t="shared" si="246"/>
        <v>#DIV/0!</v>
      </c>
      <c r="AZ175" s="1071">
        <v>120000000</v>
      </c>
      <c r="BA175" s="1000">
        <f t="shared" si="253"/>
        <v>119999999.56</v>
      </c>
      <c r="BB175" s="1026">
        <f t="shared" si="247"/>
        <v>0.99999999633333336</v>
      </c>
      <c r="BC175" s="1029">
        <f t="shared" si="254"/>
        <v>119804893.56</v>
      </c>
      <c r="BD175" s="973">
        <f t="shared" si="255"/>
        <v>0.99837411300000001</v>
      </c>
      <c r="BE175" s="1030"/>
      <c r="BF175" s="1030"/>
      <c r="BG175" s="953" t="s">
        <v>1703</v>
      </c>
      <c r="BH175" s="1188" t="s">
        <v>2440</v>
      </c>
    </row>
    <row r="176" spans="1:61" s="908" customFormat="1" ht="47.4" customHeight="1">
      <c r="A176" s="936" t="s">
        <v>2457</v>
      </c>
      <c r="B176" s="937"/>
      <c r="C176" s="937"/>
      <c r="D176" s="938"/>
      <c r="E176" s="938"/>
      <c r="F176" s="938"/>
      <c r="G176" s="938"/>
      <c r="H176" s="938"/>
      <c r="I176" s="938"/>
      <c r="J176" s="938"/>
      <c r="K176" s="938"/>
      <c r="L176" s="938"/>
      <c r="M176" s="938"/>
      <c r="N176" s="938"/>
      <c r="O176" s="939">
        <f>+O177*AC177</f>
        <v>1</v>
      </c>
      <c r="P176" s="939">
        <f t="shared" ref="P176:R176" si="346">+P177*AD177</f>
        <v>1</v>
      </c>
      <c r="Q176" s="939">
        <f t="shared" si="346"/>
        <v>1</v>
      </c>
      <c r="R176" s="939">
        <f t="shared" si="346"/>
        <v>1</v>
      </c>
      <c r="S176" s="1178"/>
      <c r="T176" s="1178"/>
      <c r="U176" s="937"/>
      <c r="V176" s="937"/>
      <c r="W176" s="937"/>
      <c r="X176" s="1178"/>
      <c r="Y176" s="1102"/>
      <c r="Z176" s="940"/>
      <c r="AA176" s="939">
        <f>+SUMPRODUCT(AA177:AA177,AB177:AB177)</f>
        <v>1</v>
      </c>
      <c r="AB176" s="939">
        <v>0.05</v>
      </c>
      <c r="AC176" s="939">
        <v>0.05</v>
      </c>
      <c r="AD176" s="939">
        <v>0.05</v>
      </c>
      <c r="AE176" s="939">
        <v>0.05</v>
      </c>
      <c r="AF176" s="939">
        <v>0.05</v>
      </c>
      <c r="AG176" s="937">
        <f>SUM(AG177)</f>
        <v>40000000</v>
      </c>
      <c r="AH176" s="937">
        <f>SUM(AH177)</f>
        <v>10500000</v>
      </c>
      <c r="AI176" s="937">
        <f>SUM(AI177)</f>
        <v>36578787</v>
      </c>
      <c r="AJ176" s="937">
        <f>SUM(AJ177)</f>
        <v>39979542</v>
      </c>
      <c r="AK176" s="937">
        <f>SUM(AK177)</f>
        <v>40000000</v>
      </c>
      <c r="AL176" s="943">
        <f t="shared" si="249"/>
        <v>1</v>
      </c>
      <c r="AM176" s="937">
        <f>SUM(AM177)</f>
        <v>4200000</v>
      </c>
      <c r="AN176" s="937">
        <f>SUM(AN177)</f>
        <v>29603684</v>
      </c>
      <c r="AO176" s="937">
        <f>SUM(AO177)</f>
        <v>38483834</v>
      </c>
      <c r="AP176" s="937">
        <f>SUM(AP177)</f>
        <v>38671206</v>
      </c>
      <c r="AQ176" s="944">
        <f t="shared" si="250"/>
        <v>0.96678014999999995</v>
      </c>
      <c r="AR176" s="945">
        <f t="shared" ref="AR176:AX176" si="347">SUM(AR177)</f>
        <v>1495708</v>
      </c>
      <c r="AS176" s="937">
        <f t="shared" si="347"/>
        <v>6300000</v>
      </c>
      <c r="AT176" s="937">
        <f t="shared" si="347"/>
        <v>6300000</v>
      </c>
      <c r="AU176" s="937">
        <f t="shared" si="347"/>
        <v>6975103</v>
      </c>
      <c r="AV176" s="937">
        <f t="shared" si="347"/>
        <v>6919494</v>
      </c>
      <c r="AW176" s="937">
        <f t="shared" si="347"/>
        <v>1495708</v>
      </c>
      <c r="AX176" s="937">
        <f t="shared" si="347"/>
        <v>400854</v>
      </c>
      <c r="AY176" s="946">
        <f t="shared" si="246"/>
        <v>0</v>
      </c>
      <c r="AZ176" s="937">
        <f t="shared" ref="AZ176" si="348">SUM(AZ177)</f>
        <v>140000000</v>
      </c>
      <c r="BA176" s="937">
        <f t="shared" si="253"/>
        <v>127058329</v>
      </c>
      <c r="BB176" s="939">
        <f t="shared" si="247"/>
        <v>0.90755949285714288</v>
      </c>
      <c r="BC176" s="1005">
        <f t="shared" si="254"/>
        <v>124579072</v>
      </c>
      <c r="BD176" s="939">
        <f t="shared" si="255"/>
        <v>0.88985051428571427</v>
      </c>
      <c r="BE176" s="945"/>
      <c r="BF176" s="945"/>
      <c r="BG176" s="945"/>
      <c r="BH176" s="945"/>
    </row>
    <row r="177" spans="1:60" s="908" customFormat="1" ht="47.4" customHeight="1">
      <c r="A177" s="1189" t="s">
        <v>2458</v>
      </c>
      <c r="B177" s="1206" t="s">
        <v>2459</v>
      </c>
      <c r="C177" s="980" t="s">
        <v>2108</v>
      </c>
      <c r="D177" s="1046">
        <v>1</v>
      </c>
      <c r="E177" s="1046">
        <v>2</v>
      </c>
      <c r="F177" s="1046">
        <v>2</v>
      </c>
      <c r="G177" s="1046">
        <v>2</v>
      </c>
      <c r="H177" s="949">
        <v>1</v>
      </c>
      <c r="I177" s="949">
        <v>2</v>
      </c>
      <c r="J177" s="949">
        <v>2</v>
      </c>
      <c r="K177" s="949">
        <v>2</v>
      </c>
      <c r="L177" s="949"/>
      <c r="M177" s="949"/>
      <c r="N177" s="949"/>
      <c r="O177" s="951">
        <f>+IFERROR(IF((H177+L177)/D177&gt;=100%,100%,(H177+L177)/D177),0)</f>
        <v>1</v>
      </c>
      <c r="P177" s="973">
        <f>+IFERROR(IF((I177+M177)/E177&gt;=100%,100%,(I177+M177)/E177),0)</f>
        <v>1</v>
      </c>
      <c r="Q177" s="973">
        <f>+IFERROR(IF((J177+N177)/F177&gt;=100%,100%,(J177+N177)/F177),0)</f>
        <v>1</v>
      </c>
      <c r="R177" s="951">
        <f>+IFERROR(IF(K177/G177&gt;=100%,100%,K177/G177),0)</f>
        <v>1</v>
      </c>
      <c r="S177" s="908" t="s">
        <v>2460</v>
      </c>
      <c r="T177" s="974">
        <v>45107</v>
      </c>
      <c r="U177" s="985"/>
      <c r="V177" s="985"/>
      <c r="W177" s="952"/>
      <c r="X177" s="975"/>
      <c r="Y177" s="912">
        <f t="shared" ref="Y177" si="349">SUM(D177:G177)</f>
        <v>7</v>
      </c>
      <c r="Z177" s="956">
        <f t="shared" ref="Z177" si="350">SUM(H177:N177)</f>
        <v>7</v>
      </c>
      <c r="AA177" s="957">
        <f t="shared" ref="AA177" si="351">IF(Z177/Y177&gt;=100%,100%,Z177/Y177)</f>
        <v>1</v>
      </c>
      <c r="AB177" s="1099">
        <v>1</v>
      </c>
      <c r="AC177" s="1099">
        <v>1</v>
      </c>
      <c r="AD177" s="951">
        <v>1</v>
      </c>
      <c r="AE177" s="951">
        <v>1</v>
      </c>
      <c r="AF177" s="951">
        <v>1</v>
      </c>
      <c r="AG177" s="1187">
        <v>40000000</v>
      </c>
      <c r="AH177" s="1187">
        <v>10500000</v>
      </c>
      <c r="AI177" s="1187">
        <v>36578787</v>
      </c>
      <c r="AJ177" s="1187">
        <v>39979542</v>
      </c>
      <c r="AK177" s="1187">
        <v>40000000</v>
      </c>
      <c r="AL177" s="959">
        <f t="shared" si="249"/>
        <v>1</v>
      </c>
      <c r="AM177" s="1187">
        <v>4200000</v>
      </c>
      <c r="AN177" s="1187">
        <v>29603684</v>
      </c>
      <c r="AO177" s="1187">
        <v>38483834</v>
      </c>
      <c r="AP177" s="1187">
        <v>38671206</v>
      </c>
      <c r="AQ177" s="971">
        <f t="shared" si="250"/>
        <v>0.96678014999999995</v>
      </c>
      <c r="AR177" s="958">
        <f>+AJ177-AO177</f>
        <v>1495708</v>
      </c>
      <c r="AS177" s="1187">
        <v>6300000</v>
      </c>
      <c r="AT177" s="1187">
        <v>6300000</v>
      </c>
      <c r="AU177" s="1187">
        <v>6975103</v>
      </c>
      <c r="AV177" s="1187">
        <v>6919494</v>
      </c>
      <c r="AW177" s="1187">
        <v>1495708</v>
      </c>
      <c r="AX177" s="1187">
        <v>400854</v>
      </c>
      <c r="AY177" s="999">
        <f t="shared" si="246"/>
        <v>0</v>
      </c>
      <c r="AZ177" s="1084">
        <v>140000000</v>
      </c>
      <c r="BA177" s="1000">
        <f t="shared" si="253"/>
        <v>127058329</v>
      </c>
      <c r="BB177" s="973">
        <f t="shared" si="247"/>
        <v>0.90755949285714288</v>
      </c>
      <c r="BC177" s="1029">
        <f t="shared" si="254"/>
        <v>124579072</v>
      </c>
      <c r="BD177" s="973">
        <f t="shared" si="255"/>
        <v>0.88985051428571427</v>
      </c>
      <c r="BE177" s="969"/>
      <c r="BF177" s="969"/>
      <c r="BG177" s="953" t="s">
        <v>1703</v>
      </c>
      <c r="BH177" s="1191" t="s">
        <v>2440</v>
      </c>
    </row>
    <row r="178" spans="1:60" s="908" customFormat="1" ht="47.4" customHeight="1">
      <c r="A178" s="936" t="s">
        <v>2461</v>
      </c>
      <c r="B178" s="937"/>
      <c r="C178" s="937"/>
      <c r="D178" s="938"/>
      <c r="E178" s="938"/>
      <c r="F178" s="938"/>
      <c r="G178" s="938"/>
      <c r="H178" s="938"/>
      <c r="I178" s="938"/>
      <c r="J178" s="938"/>
      <c r="K178" s="938"/>
      <c r="L178" s="938"/>
      <c r="M178" s="938"/>
      <c r="N178" s="938"/>
      <c r="O178" s="939">
        <f>+SUMPRODUCT(O179:O182,AC179:AC182)</f>
        <v>0.54</v>
      </c>
      <c r="P178" s="939">
        <f t="shared" ref="P178:R178" si="352">+SUMPRODUCT(P179:P182,AD179:AD182)</f>
        <v>0.96</v>
      </c>
      <c r="Q178" s="939">
        <f t="shared" si="352"/>
        <v>0.95120000000000005</v>
      </c>
      <c r="R178" s="939">
        <f t="shared" si="352"/>
        <v>0.9274</v>
      </c>
      <c r="S178" s="1178"/>
      <c r="T178" s="1178"/>
      <c r="U178" s="937"/>
      <c r="V178" s="937"/>
      <c r="W178" s="937"/>
      <c r="X178" s="1178"/>
      <c r="Y178" s="1102"/>
      <c r="Z178" s="940"/>
      <c r="AA178" s="939">
        <f>+SUMPRODUCT(AA179:AA182,AB179:AB182)</f>
        <v>0.92091666666666661</v>
      </c>
      <c r="AB178" s="939">
        <v>0.2</v>
      </c>
      <c r="AC178" s="939">
        <v>0.2</v>
      </c>
      <c r="AD178" s="939">
        <v>0.2</v>
      </c>
      <c r="AE178" s="939">
        <v>0.2</v>
      </c>
      <c r="AF178" s="939">
        <v>0.2</v>
      </c>
      <c r="AG178" s="937">
        <f>SUM(AG179:AG182)</f>
        <v>370000000</v>
      </c>
      <c r="AH178" s="937">
        <f>SUM(AH179:AH182)</f>
        <v>4000000</v>
      </c>
      <c r="AI178" s="937">
        <f>SUM(AI179:AI182)</f>
        <v>453696326</v>
      </c>
      <c r="AJ178" s="937">
        <f>SUM(AJ179:AJ182)</f>
        <v>406996428</v>
      </c>
      <c r="AK178" s="937">
        <f>SUM(AK179:AK182)</f>
        <v>369999999.33999997</v>
      </c>
      <c r="AL178" s="943">
        <f t="shared" si="249"/>
        <v>0.9999999982162161</v>
      </c>
      <c r="AM178" s="937">
        <f>SUM(AM179:AM182)</f>
        <v>0</v>
      </c>
      <c r="AN178" s="945">
        <f>SUM(AN179:AN182)</f>
        <v>93361949</v>
      </c>
      <c r="AO178" s="945">
        <f>SUM(AO179:AO182)</f>
        <v>159945156</v>
      </c>
      <c r="AP178" s="937">
        <f>SUM(AP179:AP182)</f>
        <v>91241127.340000004</v>
      </c>
      <c r="AQ178" s="944">
        <f t="shared" si="250"/>
        <v>0.24659764145945948</v>
      </c>
      <c r="AR178" s="945">
        <f t="shared" ref="AR178:AX178" si="353">SUM(AR179:AR182)</f>
        <v>247051272</v>
      </c>
      <c r="AS178" s="937">
        <f t="shared" si="353"/>
        <v>4000000</v>
      </c>
      <c r="AT178" s="937">
        <f t="shared" si="353"/>
        <v>4000000</v>
      </c>
      <c r="AU178" s="937">
        <f t="shared" si="353"/>
        <v>360334377</v>
      </c>
      <c r="AV178" s="937">
        <f t="shared" si="353"/>
        <v>359442703</v>
      </c>
      <c r="AW178" s="937">
        <f t="shared" si="353"/>
        <v>247051272</v>
      </c>
      <c r="AX178" s="937">
        <f t="shared" si="353"/>
        <v>244319994</v>
      </c>
      <c r="AY178" s="946">
        <f t="shared" si="246"/>
        <v>1.6225538802326022E-3</v>
      </c>
      <c r="AZ178" s="937">
        <f t="shared" ref="AZ178" si="354">SUM(AZ179:AZ182)</f>
        <v>1344747465</v>
      </c>
      <c r="BA178" s="937">
        <f t="shared" si="253"/>
        <v>1234692753.3399999</v>
      </c>
      <c r="BB178" s="939">
        <f t="shared" si="247"/>
        <v>0.9181595693433785</v>
      </c>
      <c r="BC178" s="1005">
        <f t="shared" si="254"/>
        <v>952310929.34000003</v>
      </c>
      <c r="BD178" s="939">
        <f t="shared" si="255"/>
        <v>0.70817083067711906</v>
      </c>
      <c r="BE178" s="945"/>
      <c r="BF178" s="945"/>
      <c r="BG178" s="945"/>
      <c r="BH178" s="945"/>
    </row>
    <row r="179" spans="1:60" s="908" customFormat="1" ht="47.4" customHeight="1">
      <c r="A179" s="1184" t="s">
        <v>1875</v>
      </c>
      <c r="B179" s="1180" t="s">
        <v>1876</v>
      </c>
      <c r="C179" s="980" t="s">
        <v>2108</v>
      </c>
      <c r="D179" s="1033">
        <v>0</v>
      </c>
      <c r="E179" s="1033">
        <v>1</v>
      </c>
      <c r="F179" s="1033">
        <v>1</v>
      </c>
      <c r="G179" s="1033">
        <v>1</v>
      </c>
      <c r="H179" s="949">
        <v>0</v>
      </c>
      <c r="I179" s="949">
        <v>0</v>
      </c>
      <c r="J179" s="949">
        <v>1</v>
      </c>
      <c r="K179" s="949">
        <v>1</v>
      </c>
      <c r="L179" s="949"/>
      <c r="M179" s="949">
        <v>1</v>
      </c>
      <c r="N179" s="949"/>
      <c r="O179" s="951">
        <f t="shared" ref="O179:Q182" si="355">+IFERROR(IF((H179+L179)/D179&gt;=100%,100%,(H179+L179)/D179),0)</f>
        <v>0</v>
      </c>
      <c r="P179" s="973">
        <f t="shared" si="355"/>
        <v>1</v>
      </c>
      <c r="Q179" s="973">
        <f t="shared" si="355"/>
        <v>1</v>
      </c>
      <c r="R179" s="951">
        <f t="shared" ref="R179:R182" si="356">+IFERROR(IF(K179/G179&gt;=100%,100%,K179/G179),0)</f>
        <v>1</v>
      </c>
      <c r="S179" s="908" t="s">
        <v>2462</v>
      </c>
      <c r="T179" s="974">
        <v>45107</v>
      </c>
      <c r="U179" s="985" t="s">
        <v>2115</v>
      </c>
      <c r="V179" s="985"/>
      <c r="W179" s="952" t="s">
        <v>2116</v>
      </c>
      <c r="X179" s="976" t="s">
        <v>2233</v>
      </c>
      <c r="Y179" s="912">
        <f t="shared" ref="Y179:Y182" si="357">SUM(D179:G179)</f>
        <v>3</v>
      </c>
      <c r="Z179" s="956">
        <f t="shared" ref="Z179:Z182" si="358">SUM(H179:N179)</f>
        <v>3</v>
      </c>
      <c r="AA179" s="1026">
        <f t="shared" ref="AA179:AA182" si="359">IF(Z179/Y179&gt;=100%,100%,Z179/Y179)</f>
        <v>1</v>
      </c>
      <c r="AB179" s="1201">
        <v>0.7</v>
      </c>
      <c r="AC179" s="1201">
        <v>0</v>
      </c>
      <c r="AD179" s="1201">
        <v>0.7</v>
      </c>
      <c r="AE179" s="1207">
        <v>0.73</v>
      </c>
      <c r="AF179" s="1207">
        <v>0.73</v>
      </c>
      <c r="AG179" s="1205">
        <v>300000000</v>
      </c>
      <c r="AH179" s="1202" t="s">
        <v>2120</v>
      </c>
      <c r="AI179" s="1205">
        <v>374032317</v>
      </c>
      <c r="AJ179" s="1205">
        <v>299984495</v>
      </c>
      <c r="AK179" s="1205">
        <v>300000000</v>
      </c>
      <c r="AL179" s="1025">
        <f t="shared" si="249"/>
        <v>1</v>
      </c>
      <c r="AM179" s="1202" t="s">
        <v>2120</v>
      </c>
      <c r="AN179" s="1205">
        <v>18822483</v>
      </c>
      <c r="AO179" s="1205">
        <v>55530944</v>
      </c>
      <c r="AP179" s="1205">
        <v>25897691</v>
      </c>
      <c r="AQ179" s="1026">
        <f t="shared" si="250"/>
        <v>8.6325636666666664E-2</v>
      </c>
      <c r="AR179" s="958">
        <f t="shared" ref="AR179:AR182" si="360">+AJ179-AO179</f>
        <v>244453551</v>
      </c>
      <c r="AS179" s="1202" t="s">
        <v>2120</v>
      </c>
      <c r="AT179" s="1084">
        <v>0</v>
      </c>
      <c r="AU179" s="1202">
        <v>355209834</v>
      </c>
      <c r="AV179" s="1202">
        <v>354555261</v>
      </c>
      <c r="AW179" s="1202">
        <v>244453551</v>
      </c>
      <c r="AX179" s="1202">
        <v>243623796</v>
      </c>
      <c r="AY179" s="1027">
        <f t="shared" si="246"/>
        <v>1.6397961836111762E-3</v>
      </c>
      <c r="AZ179" s="1071">
        <v>980000000</v>
      </c>
      <c r="BA179" s="1000">
        <f t="shared" si="253"/>
        <v>974016812</v>
      </c>
      <c r="BB179" s="973">
        <f t="shared" si="247"/>
        <v>0.99389470612244901</v>
      </c>
      <c r="BC179" s="1029">
        <f t="shared" si="254"/>
        <v>698430175</v>
      </c>
      <c r="BD179" s="973">
        <f t="shared" si="255"/>
        <v>0.7126838520408163</v>
      </c>
      <c r="BE179" s="1030"/>
      <c r="BF179" s="1030"/>
      <c r="BG179" s="953" t="s">
        <v>697</v>
      </c>
      <c r="BH179" s="1188" t="s">
        <v>2150</v>
      </c>
    </row>
    <row r="180" spans="1:60" s="908" customFormat="1" ht="47.4" customHeight="1">
      <c r="A180" s="1184" t="s">
        <v>2463</v>
      </c>
      <c r="B180" s="1192" t="s">
        <v>2464</v>
      </c>
      <c r="C180" s="948" t="s">
        <v>1056</v>
      </c>
      <c r="D180" s="1219">
        <v>1</v>
      </c>
      <c r="E180" s="1219">
        <v>1</v>
      </c>
      <c r="F180" s="1219">
        <v>1</v>
      </c>
      <c r="G180" s="1219">
        <v>1</v>
      </c>
      <c r="H180" s="1219">
        <v>1</v>
      </c>
      <c r="I180" s="951">
        <v>1</v>
      </c>
      <c r="J180" s="951">
        <v>0.86</v>
      </c>
      <c r="K180" s="951">
        <v>0.72</v>
      </c>
      <c r="L180" s="949"/>
      <c r="M180" s="949"/>
      <c r="N180" s="949"/>
      <c r="O180" s="951">
        <f t="shared" si="355"/>
        <v>1</v>
      </c>
      <c r="P180" s="973">
        <f t="shared" si="355"/>
        <v>1</v>
      </c>
      <c r="Q180" s="973">
        <f t="shared" si="355"/>
        <v>0.86</v>
      </c>
      <c r="R180" s="951">
        <f t="shared" si="356"/>
        <v>0.72</v>
      </c>
      <c r="S180" s="908" t="s">
        <v>2465</v>
      </c>
      <c r="T180" s="974">
        <v>45107</v>
      </c>
      <c r="U180" s="985"/>
      <c r="V180" s="985"/>
      <c r="W180" s="952"/>
      <c r="X180" s="975"/>
      <c r="Y180" s="951">
        <f t="shared" si="357"/>
        <v>4</v>
      </c>
      <c r="Z180" s="977">
        <f t="shared" si="358"/>
        <v>3.58</v>
      </c>
      <c r="AA180" s="1026">
        <f t="shared" si="359"/>
        <v>0.89500000000000002</v>
      </c>
      <c r="AB180" s="1201">
        <v>0.15</v>
      </c>
      <c r="AC180" s="1201">
        <v>0.54</v>
      </c>
      <c r="AD180" s="1201">
        <v>0.15</v>
      </c>
      <c r="AE180" s="1207">
        <v>0.17</v>
      </c>
      <c r="AF180" s="1207">
        <v>0.17</v>
      </c>
      <c r="AG180" s="1186">
        <v>40000000</v>
      </c>
      <c r="AH180" s="1186">
        <v>4000000</v>
      </c>
      <c r="AI180" s="1205">
        <v>39378784</v>
      </c>
      <c r="AJ180" s="1205">
        <v>39979542</v>
      </c>
      <c r="AK180" s="1205">
        <v>40000000</v>
      </c>
      <c r="AL180" s="1025">
        <f t="shared" si="249"/>
        <v>1</v>
      </c>
      <c r="AM180" s="1186">
        <v>0</v>
      </c>
      <c r="AN180" s="1205">
        <v>37991373</v>
      </c>
      <c r="AO180" s="1205">
        <v>38483885</v>
      </c>
      <c r="AP180" s="1205">
        <v>39933332</v>
      </c>
      <c r="AQ180" s="1026">
        <f t="shared" si="250"/>
        <v>0.99833329999999998</v>
      </c>
      <c r="AR180" s="958">
        <f t="shared" si="360"/>
        <v>1495657</v>
      </c>
      <c r="AS180" s="1186">
        <v>4000000</v>
      </c>
      <c r="AT180" s="1186">
        <v>4000000</v>
      </c>
      <c r="AU180" s="1186">
        <v>1387411</v>
      </c>
      <c r="AV180" s="1186">
        <v>1331802</v>
      </c>
      <c r="AW180" s="1186">
        <v>1495657</v>
      </c>
      <c r="AX180" s="1186">
        <v>400841</v>
      </c>
      <c r="AY180" s="1027">
        <f t="shared" si="246"/>
        <v>163.35295726225999</v>
      </c>
      <c r="AZ180" s="1071">
        <v>140000000</v>
      </c>
      <c r="BA180" s="1000">
        <f t="shared" si="253"/>
        <v>123358326</v>
      </c>
      <c r="BB180" s="973">
        <f t="shared" si="247"/>
        <v>0.88113090000000005</v>
      </c>
      <c r="BC180" s="1029">
        <f t="shared" si="254"/>
        <v>122141233</v>
      </c>
      <c r="BD180" s="973">
        <f t="shared" si="255"/>
        <v>0.87243737857142856</v>
      </c>
      <c r="BE180" s="1030"/>
      <c r="BF180" s="1030"/>
      <c r="BG180" s="953" t="s">
        <v>1703</v>
      </c>
      <c r="BH180" s="1188" t="s">
        <v>2150</v>
      </c>
    </row>
    <row r="181" spans="1:60" s="908" customFormat="1" ht="47.25" hidden="1" customHeight="1">
      <c r="A181" s="1208" t="s">
        <v>2466</v>
      </c>
      <c r="B181" s="1192" t="s">
        <v>2467</v>
      </c>
      <c r="C181" s="980" t="s">
        <v>2108</v>
      </c>
      <c r="D181" s="1200">
        <v>0</v>
      </c>
      <c r="E181" s="1200">
        <v>2</v>
      </c>
      <c r="F181" s="1200">
        <v>0</v>
      </c>
      <c r="G181" s="1200">
        <v>0</v>
      </c>
      <c r="H181" s="949">
        <v>0</v>
      </c>
      <c r="I181" s="949">
        <v>0</v>
      </c>
      <c r="J181" s="949">
        <v>0</v>
      </c>
      <c r="K181" s="949"/>
      <c r="L181" s="949"/>
      <c r="M181" s="949">
        <v>1</v>
      </c>
      <c r="N181" s="949"/>
      <c r="O181" s="951">
        <f t="shared" si="355"/>
        <v>0</v>
      </c>
      <c r="P181" s="973">
        <f t="shared" si="355"/>
        <v>0.5</v>
      </c>
      <c r="Q181" s="951">
        <f t="shared" si="355"/>
        <v>0</v>
      </c>
      <c r="R181" s="951">
        <f t="shared" si="356"/>
        <v>0</v>
      </c>
      <c r="U181" s="954"/>
      <c r="V181" s="912"/>
      <c r="W181" s="953"/>
      <c r="X181" s="976"/>
      <c r="Y181" s="912">
        <f t="shared" si="357"/>
        <v>2</v>
      </c>
      <c r="Z181" s="956">
        <f t="shared" si="358"/>
        <v>1</v>
      </c>
      <c r="AA181" s="1026">
        <f t="shared" si="359"/>
        <v>0.5</v>
      </c>
      <c r="AB181" s="1201">
        <v>0.08</v>
      </c>
      <c r="AC181" s="1201">
        <v>0</v>
      </c>
      <c r="AD181" s="1201">
        <v>0.08</v>
      </c>
      <c r="AE181" s="1201">
        <v>0</v>
      </c>
      <c r="AF181" s="1201">
        <v>0</v>
      </c>
      <c r="AG181" s="1186">
        <v>0</v>
      </c>
      <c r="AH181" s="1202" t="s">
        <v>2120</v>
      </c>
      <c r="AI181" s="1205">
        <f>40285225*0.81</f>
        <v>32631032.250000004</v>
      </c>
      <c r="AJ181" s="1205">
        <v>0</v>
      </c>
      <c r="AK181" s="1205"/>
      <c r="AL181" s="1025" t="e">
        <f t="shared" si="249"/>
        <v>#DIV/0!</v>
      </c>
      <c r="AM181" s="1202" t="s">
        <v>2120</v>
      </c>
      <c r="AN181" s="1205">
        <f>36548093*0.81</f>
        <v>29603955.330000002</v>
      </c>
      <c r="AO181" s="1205">
        <v>0</v>
      </c>
      <c r="AP181" s="1205"/>
      <c r="AQ181" s="1026" t="e">
        <f t="shared" si="250"/>
        <v>#DIV/0!</v>
      </c>
      <c r="AR181" s="958">
        <f t="shared" si="360"/>
        <v>0</v>
      </c>
      <c r="AS181" s="1202" t="s">
        <v>2120</v>
      </c>
      <c r="AT181" s="1084">
        <v>0</v>
      </c>
      <c r="AU181" s="1202"/>
      <c r="AV181" s="1202"/>
      <c r="AW181" s="1202"/>
      <c r="AX181" s="1202"/>
      <c r="AY181" s="1027" t="e">
        <f t="shared" si="246"/>
        <v>#DIV/0!</v>
      </c>
      <c r="AZ181" s="1071">
        <v>85000000</v>
      </c>
      <c r="BA181" s="1000">
        <f t="shared" si="253"/>
        <v>32631032.250000004</v>
      </c>
      <c r="BB181" s="973">
        <f t="shared" si="247"/>
        <v>0.38389449705882356</v>
      </c>
      <c r="BC181" s="1029">
        <f t="shared" si="254"/>
        <v>29603955.330000002</v>
      </c>
      <c r="BD181" s="973">
        <f t="shared" si="255"/>
        <v>0.34828182741176472</v>
      </c>
      <c r="BE181" s="1030"/>
      <c r="BF181" s="1030"/>
      <c r="BG181" s="953" t="s">
        <v>1703</v>
      </c>
      <c r="BH181" s="1380" t="s">
        <v>2150</v>
      </c>
    </row>
    <row r="182" spans="1:60" s="908" customFormat="1" ht="47.4" customHeight="1">
      <c r="A182" s="1208" t="s">
        <v>2468</v>
      </c>
      <c r="B182" s="1192" t="s">
        <v>2469</v>
      </c>
      <c r="C182" s="980" t="s">
        <v>2108</v>
      </c>
      <c r="D182" s="1033">
        <v>2</v>
      </c>
      <c r="E182" s="1033">
        <v>2</v>
      </c>
      <c r="F182" s="1033">
        <v>4</v>
      </c>
      <c r="G182" s="1033">
        <v>4</v>
      </c>
      <c r="H182" s="949">
        <v>0</v>
      </c>
      <c r="I182" s="949">
        <v>0</v>
      </c>
      <c r="J182" s="949">
        <v>3</v>
      </c>
      <c r="K182" s="949">
        <v>3</v>
      </c>
      <c r="L182" s="949">
        <v>0</v>
      </c>
      <c r="M182" s="949">
        <v>2</v>
      </c>
      <c r="N182" s="949"/>
      <c r="O182" s="951">
        <f t="shared" si="355"/>
        <v>0</v>
      </c>
      <c r="P182" s="973">
        <f t="shared" si="355"/>
        <v>1</v>
      </c>
      <c r="Q182" s="973">
        <f t="shared" si="355"/>
        <v>0.75</v>
      </c>
      <c r="R182" s="951">
        <f t="shared" si="356"/>
        <v>0.75</v>
      </c>
      <c r="S182" s="908" t="s">
        <v>2470</v>
      </c>
      <c r="T182" s="974">
        <v>45107</v>
      </c>
      <c r="U182" s="985"/>
      <c r="V182" s="985"/>
      <c r="W182" s="952"/>
      <c r="X182" s="976"/>
      <c r="Y182" s="912">
        <f t="shared" si="357"/>
        <v>12</v>
      </c>
      <c r="Z182" s="956">
        <f t="shared" si="358"/>
        <v>8</v>
      </c>
      <c r="AA182" s="1026">
        <f t="shared" si="359"/>
        <v>0.66666666666666663</v>
      </c>
      <c r="AB182" s="1201">
        <v>7.0000000000000007E-2</v>
      </c>
      <c r="AC182" s="1201">
        <v>0.46</v>
      </c>
      <c r="AD182" s="1201">
        <v>7.0000000000000007E-2</v>
      </c>
      <c r="AE182" s="1201">
        <v>0.1</v>
      </c>
      <c r="AF182" s="1201">
        <v>0.1</v>
      </c>
      <c r="AG182" s="1186">
        <v>30000000</v>
      </c>
      <c r="AH182" s="1202" t="s">
        <v>2120</v>
      </c>
      <c r="AI182" s="1205">
        <f>40285225*0.19</f>
        <v>7654192.75</v>
      </c>
      <c r="AJ182" s="1205">
        <v>67032391</v>
      </c>
      <c r="AK182" s="1205">
        <v>29999999.34</v>
      </c>
      <c r="AL182" s="1025">
        <f t="shared" si="249"/>
        <v>0.99999997799999996</v>
      </c>
      <c r="AM182" s="1202" t="s">
        <v>2120</v>
      </c>
      <c r="AN182" s="1205">
        <f>36548093*0.19</f>
        <v>6944137.6699999999</v>
      </c>
      <c r="AO182" s="1205">
        <v>65930327</v>
      </c>
      <c r="AP182" s="1205">
        <v>25410104.34</v>
      </c>
      <c r="AQ182" s="1026">
        <f t="shared" si="250"/>
        <v>0.84700347799999998</v>
      </c>
      <c r="AR182" s="958">
        <f t="shared" si="360"/>
        <v>1102064</v>
      </c>
      <c r="AS182" s="1202" t="s">
        <v>2120</v>
      </c>
      <c r="AT182" s="1084">
        <v>0</v>
      </c>
      <c r="AU182" s="1202">
        <v>3737132</v>
      </c>
      <c r="AV182" s="1202">
        <v>3555640</v>
      </c>
      <c r="AW182" s="1202">
        <v>1102064</v>
      </c>
      <c r="AX182" s="1202">
        <v>295357</v>
      </c>
      <c r="AY182" s="1027">
        <f t="shared" si="246"/>
        <v>0.36371844103427753</v>
      </c>
      <c r="AZ182" s="1071">
        <v>139747465</v>
      </c>
      <c r="BA182" s="1000">
        <f t="shared" si="253"/>
        <v>104686583.09</v>
      </c>
      <c r="BB182" s="973">
        <f t="shared" si="247"/>
        <v>0.74911257309747981</v>
      </c>
      <c r="BC182" s="1029">
        <f t="shared" si="254"/>
        <v>102135566.01000001</v>
      </c>
      <c r="BD182" s="973">
        <f t="shared" si="255"/>
        <v>0.73085809470676266</v>
      </c>
      <c r="BE182" s="1030"/>
      <c r="BF182" s="1030"/>
      <c r="BG182" s="953" t="s">
        <v>1703</v>
      </c>
      <c r="BH182" s="1370"/>
    </row>
    <row r="183" spans="1:60" s="908" customFormat="1" ht="47.4" customHeight="1">
      <c r="A183" s="936" t="s">
        <v>2471</v>
      </c>
      <c r="B183" s="937"/>
      <c r="C183" s="937"/>
      <c r="D183" s="938"/>
      <c r="E183" s="938"/>
      <c r="F183" s="938"/>
      <c r="G183" s="938"/>
      <c r="H183" s="938"/>
      <c r="I183" s="938"/>
      <c r="J183" s="938"/>
      <c r="K183" s="938"/>
      <c r="L183" s="938"/>
      <c r="M183" s="938"/>
      <c r="N183" s="938"/>
      <c r="O183" s="939">
        <f>+SUMPRODUCT(O184:O189,AC184:AC189)</f>
        <v>1</v>
      </c>
      <c r="P183" s="939">
        <f t="shared" ref="P183:R183" si="361">+SUMPRODUCT(P184:P189,AD184:AD189)</f>
        <v>0.9956521739130435</v>
      </c>
      <c r="Q183" s="939">
        <f t="shared" si="361"/>
        <v>1</v>
      </c>
      <c r="R183" s="939">
        <f t="shared" si="361"/>
        <v>1</v>
      </c>
      <c r="S183" s="1178"/>
      <c r="T183" s="1178"/>
      <c r="U183" s="937"/>
      <c r="V183" s="937"/>
      <c r="W183" s="937"/>
      <c r="X183" s="1178"/>
      <c r="Y183" s="1102"/>
      <c r="Z183" s="940">
        <f t="shared" ref="Z183" si="362">SUM(H183:M183)</f>
        <v>0</v>
      </c>
      <c r="AA183" s="939">
        <f>+SUMPRODUCT(AA184:AA189,AB184:AB189)</f>
        <v>0.99888888888888894</v>
      </c>
      <c r="AB183" s="939">
        <v>0.3</v>
      </c>
      <c r="AC183" s="939">
        <v>0.3</v>
      </c>
      <c r="AD183" s="939">
        <v>0.3</v>
      </c>
      <c r="AE183" s="939">
        <v>0.3</v>
      </c>
      <c r="AF183" s="939">
        <v>0.3</v>
      </c>
      <c r="AG183" s="937">
        <f>SUM(AG184:AG189)</f>
        <v>490000000</v>
      </c>
      <c r="AH183" s="937">
        <f>SUM(AH184:AH189)</f>
        <v>112250000</v>
      </c>
      <c r="AI183" s="937">
        <f>SUM(AI184:AI189)</f>
        <v>985882952</v>
      </c>
      <c r="AJ183" s="937">
        <f>SUM(AJ184:AJ189)</f>
        <v>503140707</v>
      </c>
      <c r="AK183" s="937">
        <f>SUM(AK184:AK189)</f>
        <v>490000000</v>
      </c>
      <c r="AL183" s="943">
        <f t="shared" si="249"/>
        <v>1</v>
      </c>
      <c r="AM183" s="937">
        <f>SUM(AM184:AM189)</f>
        <v>76400000</v>
      </c>
      <c r="AN183" s="937">
        <f>SUM(AN184:AN189)</f>
        <v>608304230</v>
      </c>
      <c r="AO183" s="937">
        <f>SUM(AO184:AO189)</f>
        <v>414078182</v>
      </c>
      <c r="AP183" s="937">
        <f>SUM(AP184:AP189)</f>
        <v>164712808</v>
      </c>
      <c r="AQ183" s="944">
        <f t="shared" si="250"/>
        <v>0.33614858775510204</v>
      </c>
      <c r="AR183" s="945">
        <f t="shared" ref="AR183:AX183" si="363">SUM(AR184:AR189)</f>
        <v>89062525</v>
      </c>
      <c r="AS183" s="937">
        <f t="shared" si="363"/>
        <v>35850000</v>
      </c>
      <c r="AT183" s="937">
        <f t="shared" si="363"/>
        <v>28850000</v>
      </c>
      <c r="AU183" s="937">
        <f t="shared" si="363"/>
        <v>377578722</v>
      </c>
      <c r="AV183" s="937">
        <f t="shared" si="363"/>
        <v>376012435</v>
      </c>
      <c r="AW183" s="937">
        <f t="shared" si="363"/>
        <v>89062525</v>
      </c>
      <c r="AX183" s="937">
        <f t="shared" si="363"/>
        <v>82186496</v>
      </c>
      <c r="AY183" s="946">
        <f t="shared" si="246"/>
        <v>0</v>
      </c>
      <c r="AZ183" s="937">
        <f t="shared" ref="AZ183" si="364">SUM(AZ184:AZ189)</f>
        <v>2117100000</v>
      </c>
      <c r="BA183" s="937">
        <f t="shared" si="253"/>
        <v>2091273659</v>
      </c>
      <c r="BB183" s="939">
        <f t="shared" si="247"/>
        <v>0.98780107647253323</v>
      </c>
      <c r="BC183" s="1005">
        <f t="shared" si="254"/>
        <v>1750544151</v>
      </c>
      <c r="BD183" s="939">
        <f t="shared" si="255"/>
        <v>0.82685945444239761</v>
      </c>
      <c r="BE183" s="945"/>
      <c r="BF183" s="945"/>
      <c r="BG183" s="945"/>
      <c r="BH183" s="945"/>
    </row>
    <row r="184" spans="1:60" s="908" customFormat="1" ht="47.4" customHeight="1">
      <c r="A184" s="1189" t="s">
        <v>2472</v>
      </c>
      <c r="B184" s="1206" t="s">
        <v>2348</v>
      </c>
      <c r="C184" s="980" t="s">
        <v>2108</v>
      </c>
      <c r="D184" s="1033">
        <v>0</v>
      </c>
      <c r="E184" s="1033">
        <v>2</v>
      </c>
      <c r="F184" s="1033">
        <v>0</v>
      </c>
      <c r="G184" s="1033">
        <v>2</v>
      </c>
      <c r="H184" s="949">
        <v>0</v>
      </c>
      <c r="I184" s="949">
        <v>2</v>
      </c>
      <c r="J184" s="949">
        <v>0</v>
      </c>
      <c r="K184" s="949">
        <v>2</v>
      </c>
      <c r="L184" s="949"/>
      <c r="M184" s="949"/>
      <c r="N184" s="949"/>
      <c r="O184" s="951">
        <f t="shared" ref="O184:Q189" si="365">+IFERROR(IF((H184+L184)/D184&gt;=100%,100%,(H184+L184)/D184),0)</f>
        <v>0</v>
      </c>
      <c r="P184" s="973">
        <f t="shared" si="365"/>
        <v>1</v>
      </c>
      <c r="Q184" s="951">
        <f t="shared" si="365"/>
        <v>0</v>
      </c>
      <c r="R184" s="951">
        <f t="shared" ref="R184:R189" si="366">+IFERROR(IF(K184/G184&gt;=100%,100%,K184/G184),0)</f>
        <v>1</v>
      </c>
      <c r="S184" s="908" t="s">
        <v>2473</v>
      </c>
      <c r="T184" s="974">
        <v>45107</v>
      </c>
      <c r="U184" s="985" t="s">
        <v>2115</v>
      </c>
      <c r="V184" s="985"/>
      <c r="W184" s="952" t="s">
        <v>2116</v>
      </c>
      <c r="X184" s="976" t="s">
        <v>2313</v>
      </c>
      <c r="Y184" s="912">
        <f t="shared" ref="Y184:Y189" si="367">SUM(D184:G184)</f>
        <v>4</v>
      </c>
      <c r="Z184" s="956">
        <f t="shared" ref="Z184:Z189" si="368">SUM(H184:N184)</f>
        <v>4</v>
      </c>
      <c r="AA184" s="1026">
        <f t="shared" ref="AA184:AA189" si="369">IF(Z184/Y184&gt;=100%,100%,Z184/Y184)</f>
        <v>1</v>
      </c>
      <c r="AB184" s="1210">
        <v>0.3</v>
      </c>
      <c r="AC184" s="1210">
        <v>0</v>
      </c>
      <c r="AD184" s="1210">
        <v>0.3</v>
      </c>
      <c r="AE184" s="1210">
        <v>0</v>
      </c>
      <c r="AF184" s="1210">
        <v>0.4</v>
      </c>
      <c r="AG184" s="1187">
        <v>350000000</v>
      </c>
      <c r="AH184" s="1187" t="s">
        <v>2120</v>
      </c>
      <c r="AI184" s="1187">
        <v>374099447</v>
      </c>
      <c r="AJ184" s="1187">
        <v>0</v>
      </c>
      <c r="AK184" s="1187">
        <v>350000000</v>
      </c>
      <c r="AL184" s="1025">
        <f t="shared" si="249"/>
        <v>1</v>
      </c>
      <c r="AM184" s="1187" t="s">
        <v>2120</v>
      </c>
      <c r="AN184" s="1187">
        <v>360589843</v>
      </c>
      <c r="AO184" s="1187">
        <v>0</v>
      </c>
      <c r="AP184" s="1187">
        <v>28356479</v>
      </c>
      <c r="AQ184" s="1026">
        <f t="shared" si="250"/>
        <v>8.101851142857143E-2</v>
      </c>
      <c r="AR184" s="958">
        <f t="shared" ref="AR184:AR189" si="370">+AJ184-AO184</f>
        <v>0</v>
      </c>
      <c r="AS184" s="1187" t="s">
        <v>2120</v>
      </c>
      <c r="AT184" s="1084">
        <v>0</v>
      </c>
      <c r="AU184" s="1187">
        <v>13509604</v>
      </c>
      <c r="AV184" s="1187">
        <v>12862284</v>
      </c>
      <c r="AW184" s="1187"/>
      <c r="AX184" s="1187"/>
      <c r="AY184" s="1027" t="e">
        <f t="shared" si="246"/>
        <v>#DIV/0!</v>
      </c>
      <c r="AZ184" s="1071">
        <v>730000000</v>
      </c>
      <c r="BA184" s="1000">
        <f t="shared" si="253"/>
        <v>724099447</v>
      </c>
      <c r="BB184" s="973">
        <f t="shared" si="247"/>
        <v>0.99191705068493152</v>
      </c>
      <c r="BC184" s="1029">
        <f t="shared" si="254"/>
        <v>401808606</v>
      </c>
      <c r="BD184" s="973">
        <f t="shared" si="255"/>
        <v>0.55042274794520551</v>
      </c>
      <c r="BE184" s="1030"/>
      <c r="BF184" s="1030"/>
      <c r="BG184" s="952" t="s">
        <v>1703</v>
      </c>
      <c r="BH184" s="1206" t="s">
        <v>2474</v>
      </c>
    </row>
    <row r="185" spans="1:60" s="908" customFormat="1" ht="47.4" customHeight="1">
      <c r="A185" s="1189" t="s">
        <v>2475</v>
      </c>
      <c r="B185" s="1206" t="s">
        <v>2476</v>
      </c>
      <c r="C185" s="980" t="s">
        <v>2108</v>
      </c>
      <c r="D185" s="1033">
        <v>23</v>
      </c>
      <c r="E185" s="1033">
        <v>23</v>
      </c>
      <c r="F185" s="1033">
        <v>22</v>
      </c>
      <c r="G185" s="1033">
        <v>22</v>
      </c>
      <c r="H185" s="949">
        <v>23</v>
      </c>
      <c r="I185" s="949">
        <v>22</v>
      </c>
      <c r="J185" s="949">
        <v>22</v>
      </c>
      <c r="K185" s="949">
        <v>22</v>
      </c>
      <c r="L185" s="949"/>
      <c r="M185" s="949"/>
      <c r="N185" s="949"/>
      <c r="O185" s="951">
        <f t="shared" si="365"/>
        <v>1</v>
      </c>
      <c r="P185" s="973">
        <f t="shared" si="365"/>
        <v>0.95652173913043481</v>
      </c>
      <c r="Q185" s="973">
        <f t="shared" si="365"/>
        <v>1</v>
      </c>
      <c r="R185" s="951">
        <f t="shared" si="366"/>
        <v>1</v>
      </c>
      <c r="S185" s="1198" t="s">
        <v>2477</v>
      </c>
      <c r="T185" s="974">
        <v>45107</v>
      </c>
      <c r="U185" s="985"/>
      <c r="V185" s="985"/>
      <c r="W185" s="952"/>
      <c r="X185" s="976"/>
      <c r="Y185" s="912">
        <f t="shared" si="367"/>
        <v>90</v>
      </c>
      <c r="Z185" s="956">
        <f t="shared" si="368"/>
        <v>89</v>
      </c>
      <c r="AA185" s="1026">
        <f t="shared" si="369"/>
        <v>0.98888888888888893</v>
      </c>
      <c r="AB185" s="1210">
        <v>0.1</v>
      </c>
      <c r="AC185" s="1210">
        <v>0.34</v>
      </c>
      <c r="AD185" s="1210">
        <v>0.1</v>
      </c>
      <c r="AE185" s="1210">
        <v>0.2</v>
      </c>
      <c r="AF185" s="1210">
        <v>0.2</v>
      </c>
      <c r="AG185" s="1211">
        <v>50000000</v>
      </c>
      <c r="AH185" s="1187">
        <v>40000000</v>
      </c>
      <c r="AI185" s="1187">
        <v>49223482</v>
      </c>
      <c r="AJ185" s="1187">
        <v>60592560</v>
      </c>
      <c r="AK185" s="1187">
        <v>50000000</v>
      </c>
      <c r="AL185" s="1025">
        <f t="shared" si="249"/>
        <v>1</v>
      </c>
      <c r="AM185" s="1187">
        <v>29400000</v>
      </c>
      <c r="AN185" s="1187">
        <v>47478795</v>
      </c>
      <c r="AO185" s="1187">
        <v>57729805</v>
      </c>
      <c r="AP185" s="1187">
        <v>48719169</v>
      </c>
      <c r="AQ185" s="1026">
        <f t="shared" si="250"/>
        <v>0.97438338000000002</v>
      </c>
      <c r="AR185" s="958">
        <f t="shared" si="370"/>
        <v>2862755</v>
      </c>
      <c r="AS185" s="1187">
        <v>10600000</v>
      </c>
      <c r="AT185" s="1187">
        <v>3600000</v>
      </c>
      <c r="AU185" s="1187">
        <v>1744687</v>
      </c>
      <c r="AV185" s="1187">
        <v>1675176</v>
      </c>
      <c r="AW185" s="1187">
        <v>2862755</v>
      </c>
      <c r="AX185" s="1187">
        <v>1398496</v>
      </c>
      <c r="AY185" s="1027">
        <f t="shared" si="246"/>
        <v>28.708882178181508</v>
      </c>
      <c r="AZ185" s="1028">
        <v>200800000</v>
      </c>
      <c r="BA185" s="1000">
        <f t="shared" si="253"/>
        <v>199816042</v>
      </c>
      <c r="BB185" s="973">
        <f t="shared" si="247"/>
        <v>0.99509981075697207</v>
      </c>
      <c r="BC185" s="1029">
        <f t="shared" si="254"/>
        <v>190001441</v>
      </c>
      <c r="BD185" s="973">
        <f t="shared" si="255"/>
        <v>0.94622231573705184</v>
      </c>
      <c r="BE185" s="1030"/>
      <c r="BF185" s="1030"/>
      <c r="BG185" s="952" t="s">
        <v>629</v>
      </c>
      <c r="BH185" s="1206" t="s">
        <v>2478</v>
      </c>
    </row>
    <row r="186" spans="1:60" s="908" customFormat="1" ht="47.4" customHeight="1">
      <c r="A186" s="1189" t="s">
        <v>2479</v>
      </c>
      <c r="B186" s="1206" t="s">
        <v>2480</v>
      </c>
      <c r="C186" s="948" t="s">
        <v>1056</v>
      </c>
      <c r="D186" s="1219">
        <v>1</v>
      </c>
      <c r="E186" s="1219">
        <v>1</v>
      </c>
      <c r="F186" s="1219">
        <v>1</v>
      </c>
      <c r="G186" s="1219">
        <v>1</v>
      </c>
      <c r="H186" s="1219">
        <v>1</v>
      </c>
      <c r="I186" s="951">
        <v>1</v>
      </c>
      <c r="J186" s="951">
        <v>1</v>
      </c>
      <c r="K186" s="951">
        <v>1</v>
      </c>
      <c r="L186" s="949"/>
      <c r="M186" s="949"/>
      <c r="N186" s="949"/>
      <c r="O186" s="951">
        <f t="shared" si="365"/>
        <v>1</v>
      </c>
      <c r="P186" s="973">
        <f t="shared" si="365"/>
        <v>1</v>
      </c>
      <c r="Q186" s="973">
        <f t="shared" si="365"/>
        <v>1</v>
      </c>
      <c r="R186" s="951">
        <f t="shared" si="366"/>
        <v>1</v>
      </c>
      <c r="S186" s="1198" t="s">
        <v>2481</v>
      </c>
      <c r="T186" s="974">
        <v>45107</v>
      </c>
      <c r="U186" s="985"/>
      <c r="V186" s="985"/>
      <c r="W186" s="952"/>
      <c r="X186" s="976"/>
      <c r="Y186" s="951">
        <f t="shared" si="367"/>
        <v>4</v>
      </c>
      <c r="Z186" s="956">
        <f t="shared" si="368"/>
        <v>4</v>
      </c>
      <c r="AA186" s="1026">
        <f t="shared" si="369"/>
        <v>1</v>
      </c>
      <c r="AB186" s="1210">
        <v>0.1</v>
      </c>
      <c r="AC186" s="1210">
        <v>0.33</v>
      </c>
      <c r="AD186" s="1210">
        <v>0.1</v>
      </c>
      <c r="AE186" s="1210">
        <v>0.2</v>
      </c>
      <c r="AF186" s="1210">
        <v>0.2</v>
      </c>
      <c r="AG186" s="1211">
        <v>50000000</v>
      </c>
      <c r="AH186" s="1187">
        <v>37050000</v>
      </c>
      <c r="AI186" s="1187">
        <v>49223482</v>
      </c>
      <c r="AJ186" s="1187">
        <v>53149498</v>
      </c>
      <c r="AK186" s="1187">
        <v>50000000</v>
      </c>
      <c r="AL186" s="1025">
        <f t="shared" si="249"/>
        <v>1</v>
      </c>
      <c r="AM186" s="1187">
        <v>24800000</v>
      </c>
      <c r="AN186" s="1187">
        <v>47478795</v>
      </c>
      <c r="AO186" s="1187">
        <v>50628865</v>
      </c>
      <c r="AP186" s="1187">
        <v>48396420</v>
      </c>
      <c r="AQ186" s="1026">
        <f t="shared" si="250"/>
        <v>0.96792840000000002</v>
      </c>
      <c r="AR186" s="958">
        <f t="shared" si="370"/>
        <v>2520633</v>
      </c>
      <c r="AS186" s="1187">
        <v>12250000</v>
      </c>
      <c r="AT186" s="1187">
        <v>12250000</v>
      </c>
      <c r="AU186" s="1187">
        <v>1744687</v>
      </c>
      <c r="AV186" s="1187">
        <v>1675176</v>
      </c>
      <c r="AW186" s="1187">
        <v>2520633</v>
      </c>
      <c r="AX186" s="1187">
        <v>1085031</v>
      </c>
      <c r="AY186" s="1027">
        <f t="shared" si="246"/>
        <v>0</v>
      </c>
      <c r="AZ186" s="1028">
        <v>196300000</v>
      </c>
      <c r="BA186" s="1000">
        <f t="shared" si="253"/>
        <v>189422980</v>
      </c>
      <c r="BB186" s="973">
        <f t="shared" si="247"/>
        <v>0.96496678553234849</v>
      </c>
      <c r="BC186" s="1029">
        <f t="shared" si="254"/>
        <v>186314287</v>
      </c>
      <c r="BD186" s="973">
        <f t="shared" si="255"/>
        <v>0.94913034640855831</v>
      </c>
      <c r="BE186" s="1030"/>
      <c r="BF186" s="1030"/>
      <c r="BG186" s="952" t="s">
        <v>1703</v>
      </c>
      <c r="BH186" s="1206" t="s">
        <v>2369</v>
      </c>
    </row>
    <row r="187" spans="1:60" s="908" customFormat="1" ht="47.4" customHeight="1">
      <c r="A187" s="1189" t="s">
        <v>2482</v>
      </c>
      <c r="B187" s="1206" t="s">
        <v>2483</v>
      </c>
      <c r="C187" s="948" t="s">
        <v>1056</v>
      </c>
      <c r="D187" s="1219">
        <v>1</v>
      </c>
      <c r="E187" s="1219">
        <v>1</v>
      </c>
      <c r="F187" s="1219">
        <v>1</v>
      </c>
      <c r="G187" s="1219">
        <v>1</v>
      </c>
      <c r="H187" s="1219">
        <v>1</v>
      </c>
      <c r="I187" s="951">
        <v>1</v>
      </c>
      <c r="J187" s="957">
        <v>1</v>
      </c>
      <c r="K187" s="957">
        <v>1</v>
      </c>
      <c r="L187" s="949"/>
      <c r="M187" s="949"/>
      <c r="N187" s="949"/>
      <c r="O187" s="951">
        <f t="shared" si="365"/>
        <v>1</v>
      </c>
      <c r="P187" s="973">
        <f t="shared" si="365"/>
        <v>1</v>
      </c>
      <c r="Q187" s="973">
        <f t="shared" si="365"/>
        <v>1</v>
      </c>
      <c r="R187" s="951">
        <f t="shared" si="366"/>
        <v>1</v>
      </c>
      <c r="S187" s="1198" t="s">
        <v>2484</v>
      </c>
      <c r="T187" s="974">
        <v>45107</v>
      </c>
      <c r="U187" s="985"/>
      <c r="V187" s="985"/>
      <c r="W187" s="952"/>
      <c r="X187" s="975"/>
      <c r="Y187" s="951">
        <f t="shared" si="367"/>
        <v>4</v>
      </c>
      <c r="Z187" s="956">
        <f t="shared" si="368"/>
        <v>4</v>
      </c>
      <c r="AA187" s="1026">
        <f t="shared" si="369"/>
        <v>1</v>
      </c>
      <c r="AB187" s="1210">
        <v>0.1</v>
      </c>
      <c r="AC187" s="1210">
        <v>0.33</v>
      </c>
      <c r="AD187" s="1210">
        <v>0.1</v>
      </c>
      <c r="AE187" s="1210">
        <v>0.2</v>
      </c>
      <c r="AF187" s="1210">
        <v>0.2</v>
      </c>
      <c r="AG187" s="1211">
        <v>40000000</v>
      </c>
      <c r="AH187" s="1187">
        <v>35200000</v>
      </c>
      <c r="AI187" s="1187">
        <v>39466418</v>
      </c>
      <c r="AJ187" s="1187">
        <v>39979542</v>
      </c>
      <c r="AK187" s="1187">
        <v>40000000</v>
      </c>
      <c r="AL187" s="1025">
        <f t="shared" si="249"/>
        <v>1</v>
      </c>
      <c r="AM187" s="1187">
        <v>22200000</v>
      </c>
      <c r="AN187" s="1187">
        <v>37943187</v>
      </c>
      <c r="AO187" s="1187">
        <v>38483885</v>
      </c>
      <c r="AP187" s="1187">
        <v>39240740</v>
      </c>
      <c r="AQ187" s="1026">
        <f t="shared" si="250"/>
        <v>0.98101850000000002</v>
      </c>
      <c r="AR187" s="958">
        <f t="shared" si="370"/>
        <v>1495657</v>
      </c>
      <c r="AS187" s="1187">
        <v>13000000</v>
      </c>
      <c r="AT187" s="1187">
        <v>13000000</v>
      </c>
      <c r="AU187" s="1187">
        <v>1523231</v>
      </c>
      <c r="AV187" s="1187">
        <v>1472867</v>
      </c>
      <c r="AW187" s="1187">
        <v>1495657</v>
      </c>
      <c r="AX187" s="1187">
        <v>400841</v>
      </c>
      <c r="AY187" s="1027">
        <f t="shared" si="246"/>
        <v>0.93503791310440831</v>
      </c>
      <c r="AZ187" s="1028">
        <v>160000000</v>
      </c>
      <c r="BA187" s="1000">
        <f t="shared" si="253"/>
        <v>154645960</v>
      </c>
      <c r="BB187" s="1035">
        <f t="shared" si="247"/>
        <v>0.96653725000000001</v>
      </c>
      <c r="BC187" s="1035">
        <f t="shared" si="254"/>
        <v>152741520</v>
      </c>
      <c r="BD187" s="1036">
        <f t="shared" si="255"/>
        <v>0.95463450000000005</v>
      </c>
      <c r="BE187" s="1030"/>
      <c r="BF187" s="1030"/>
      <c r="BG187" s="952" t="s">
        <v>1062</v>
      </c>
      <c r="BH187" s="1206" t="s">
        <v>2253</v>
      </c>
    </row>
    <row r="188" spans="1:60" s="908" customFormat="1" ht="106.5" hidden="1" customHeight="1">
      <c r="A188" s="1189" t="s">
        <v>2485</v>
      </c>
      <c r="B188" s="1206" t="s">
        <v>2486</v>
      </c>
      <c r="C188" s="980" t="s">
        <v>2108</v>
      </c>
      <c r="D188" s="1209">
        <v>0</v>
      </c>
      <c r="E188" s="1209">
        <v>1</v>
      </c>
      <c r="F188" s="1209">
        <v>0</v>
      </c>
      <c r="G188" s="1209">
        <v>0</v>
      </c>
      <c r="H188" s="1209">
        <v>0</v>
      </c>
      <c r="I188" s="949">
        <v>0</v>
      </c>
      <c r="J188" s="949">
        <v>0</v>
      </c>
      <c r="K188" s="949"/>
      <c r="L188" s="949"/>
      <c r="M188" s="949">
        <v>1</v>
      </c>
      <c r="N188" s="949"/>
      <c r="O188" s="951">
        <f t="shared" si="365"/>
        <v>0</v>
      </c>
      <c r="P188" s="973">
        <f t="shared" si="365"/>
        <v>1</v>
      </c>
      <c r="Q188" s="951">
        <f t="shared" si="365"/>
        <v>0</v>
      </c>
      <c r="R188" s="951">
        <f t="shared" si="366"/>
        <v>0</v>
      </c>
      <c r="U188" s="954"/>
      <c r="V188" s="912"/>
      <c r="W188" s="953"/>
      <c r="Y188" s="912">
        <f t="shared" si="367"/>
        <v>1</v>
      </c>
      <c r="Z188" s="956">
        <f t="shared" si="368"/>
        <v>1</v>
      </c>
      <c r="AA188" s="1026">
        <f t="shared" si="369"/>
        <v>1</v>
      </c>
      <c r="AB188" s="1210">
        <v>0.1</v>
      </c>
      <c r="AC188" s="1210">
        <v>0</v>
      </c>
      <c r="AD188" s="1210">
        <v>0.1</v>
      </c>
      <c r="AE188" s="1210">
        <v>0</v>
      </c>
      <c r="AF188" s="1210">
        <v>0</v>
      </c>
      <c r="AG188" s="1187">
        <v>0</v>
      </c>
      <c r="AH188" s="1187" t="s">
        <v>2120</v>
      </c>
      <c r="AI188" s="1187">
        <v>98446960</v>
      </c>
      <c r="AJ188" s="1187">
        <v>0</v>
      </c>
      <c r="AK188" s="1187">
        <v>0</v>
      </c>
      <c r="AL188" s="1025" t="e">
        <f t="shared" si="249"/>
        <v>#DIV/0!</v>
      </c>
      <c r="AM188" s="1187" t="s">
        <v>2120</v>
      </c>
      <c r="AN188" s="1187">
        <v>51582590</v>
      </c>
      <c r="AO188" s="1187">
        <v>0</v>
      </c>
      <c r="AP188" s="1187"/>
      <c r="AQ188" s="1026" t="e">
        <f t="shared" si="250"/>
        <v>#DIV/0!</v>
      </c>
      <c r="AR188" s="958">
        <f t="shared" si="370"/>
        <v>0</v>
      </c>
      <c r="AS188" s="1187" t="s">
        <v>2120</v>
      </c>
      <c r="AT188" s="1084">
        <v>0</v>
      </c>
      <c r="AU188" s="1187">
        <v>46864370</v>
      </c>
      <c r="AV188" s="1187">
        <v>46676104</v>
      </c>
      <c r="AW188" s="1187"/>
      <c r="AX188" s="1187"/>
      <c r="AY188" s="1027" t="e">
        <f t="shared" si="246"/>
        <v>#DIV/0!</v>
      </c>
      <c r="AZ188" s="1071">
        <v>100000000</v>
      </c>
      <c r="BA188" s="1000">
        <f t="shared" si="253"/>
        <v>98446960</v>
      </c>
      <c r="BB188" s="1026">
        <f t="shared" si="247"/>
        <v>0.98446959999999994</v>
      </c>
      <c r="BC188" s="1029">
        <f t="shared" si="254"/>
        <v>98258694</v>
      </c>
      <c r="BD188" s="973">
        <f t="shared" si="255"/>
        <v>0.98258694000000002</v>
      </c>
      <c r="BE188" s="1030"/>
      <c r="BF188" s="1030"/>
      <c r="BG188" s="952" t="s">
        <v>1703</v>
      </c>
      <c r="BH188" s="1206" t="s">
        <v>2478</v>
      </c>
    </row>
    <row r="189" spans="1:60" s="908" customFormat="1" ht="94.5" hidden="1" customHeight="1">
      <c r="A189" s="1189" t="s">
        <v>2487</v>
      </c>
      <c r="B189" s="1206" t="s">
        <v>2488</v>
      </c>
      <c r="C189" s="980" t="s">
        <v>2108</v>
      </c>
      <c r="D189" s="1209">
        <v>0</v>
      </c>
      <c r="E189" s="1209">
        <v>2</v>
      </c>
      <c r="F189" s="1209">
        <v>2</v>
      </c>
      <c r="G189" s="1209">
        <v>0</v>
      </c>
      <c r="H189" s="1209">
        <v>0</v>
      </c>
      <c r="I189" s="949">
        <v>0</v>
      </c>
      <c r="J189" s="949">
        <v>2</v>
      </c>
      <c r="K189" s="949"/>
      <c r="L189" s="949"/>
      <c r="M189" s="949">
        <v>3</v>
      </c>
      <c r="N189" s="949"/>
      <c r="O189" s="951">
        <f t="shared" si="365"/>
        <v>0</v>
      </c>
      <c r="P189" s="973">
        <f t="shared" si="365"/>
        <v>1</v>
      </c>
      <c r="Q189" s="973">
        <f t="shared" si="365"/>
        <v>1</v>
      </c>
      <c r="R189" s="951">
        <f t="shared" si="366"/>
        <v>0</v>
      </c>
      <c r="U189" s="985"/>
      <c r="V189" s="985"/>
      <c r="W189" s="952"/>
      <c r="X189" s="975"/>
      <c r="Y189" s="912">
        <f t="shared" si="367"/>
        <v>4</v>
      </c>
      <c r="Z189" s="956">
        <f t="shared" si="368"/>
        <v>5</v>
      </c>
      <c r="AA189" s="1026">
        <f t="shared" si="369"/>
        <v>1</v>
      </c>
      <c r="AB189" s="1210">
        <v>0.3</v>
      </c>
      <c r="AC189" s="1210">
        <v>0</v>
      </c>
      <c r="AD189" s="1210">
        <v>0.3</v>
      </c>
      <c r="AE189" s="1210">
        <v>0.4</v>
      </c>
      <c r="AF189" s="1210">
        <v>0</v>
      </c>
      <c r="AG189" s="1187">
        <v>0</v>
      </c>
      <c r="AH189" s="1187" t="s">
        <v>2120</v>
      </c>
      <c r="AI189" s="1187">
        <v>375423163</v>
      </c>
      <c r="AJ189" s="1187">
        <v>349419107</v>
      </c>
      <c r="AK189" s="1187">
        <v>0</v>
      </c>
      <c r="AL189" s="1025" t="e">
        <f t="shared" si="249"/>
        <v>#DIV/0!</v>
      </c>
      <c r="AM189" s="1187" t="s">
        <v>2120</v>
      </c>
      <c r="AN189" s="1187">
        <v>63231020</v>
      </c>
      <c r="AO189" s="1187">
        <v>267235627</v>
      </c>
      <c r="AP189" s="1187"/>
      <c r="AQ189" s="1026" t="e">
        <f t="shared" si="250"/>
        <v>#DIV/0!</v>
      </c>
      <c r="AR189" s="958">
        <f t="shared" si="370"/>
        <v>82183480</v>
      </c>
      <c r="AS189" s="1187" t="s">
        <v>2120</v>
      </c>
      <c r="AT189" s="1084">
        <v>0</v>
      </c>
      <c r="AU189" s="1187">
        <v>312192143</v>
      </c>
      <c r="AV189" s="1187">
        <v>311650828</v>
      </c>
      <c r="AW189" s="1187">
        <v>82183480</v>
      </c>
      <c r="AX189" s="1187">
        <v>79302128</v>
      </c>
      <c r="AY189" s="1027">
        <f t="shared" si="246"/>
        <v>4.877391417350543E-3</v>
      </c>
      <c r="AZ189" s="1071">
        <v>730000000</v>
      </c>
      <c r="BA189" s="1000">
        <f t="shared" si="253"/>
        <v>724842270</v>
      </c>
      <c r="BB189" s="973">
        <f t="shared" si="247"/>
        <v>0.99293461643835612</v>
      </c>
      <c r="BC189" s="1029">
        <f t="shared" si="254"/>
        <v>721419603</v>
      </c>
      <c r="BD189" s="973">
        <f t="shared" si="255"/>
        <v>0.98824603150684931</v>
      </c>
      <c r="BE189" s="1030"/>
      <c r="BF189" s="1030"/>
      <c r="BG189" s="952" t="s">
        <v>1703</v>
      </c>
      <c r="BH189" s="1206" t="s">
        <v>2478</v>
      </c>
    </row>
    <row r="190" spans="1:60" s="935" customFormat="1" ht="47.4" customHeight="1">
      <c r="A190" s="925" t="s">
        <v>2489</v>
      </c>
      <c r="B190" s="926"/>
      <c r="C190" s="926"/>
      <c r="D190" s="927"/>
      <c r="E190" s="927"/>
      <c r="F190" s="1108"/>
      <c r="G190" s="1108"/>
      <c r="H190" s="927"/>
      <c r="I190" s="927"/>
      <c r="J190" s="1108"/>
      <c r="K190" s="1108"/>
      <c r="L190" s="927"/>
      <c r="M190" s="927"/>
      <c r="N190" s="927"/>
      <c r="O190" s="928">
        <f>+(O191*AC191)+(O200*AC200)</f>
        <v>0.93160000000000009</v>
      </c>
      <c r="P190" s="928">
        <f t="shared" ref="P190:R190" si="371">+(P191*AD191)+(P200*AD200)</f>
        <v>0.87463539999999995</v>
      </c>
      <c r="Q190" s="928">
        <f t="shared" si="371"/>
        <v>0.72863999999999995</v>
      </c>
      <c r="R190" s="928">
        <f t="shared" si="371"/>
        <v>0.81399999999999995</v>
      </c>
      <c r="S190" s="1176"/>
      <c r="T190" s="1176"/>
      <c r="U190" s="926"/>
      <c r="V190" s="926"/>
      <c r="W190" s="926"/>
      <c r="X190" s="1176"/>
      <c r="Y190" s="1177"/>
      <c r="Z190" s="929"/>
      <c r="AA190" s="928">
        <f>+(AA191*AB191)+(AA200*AB200)</f>
        <v>0.89834049999999999</v>
      </c>
      <c r="AB190" s="928">
        <v>0.25</v>
      </c>
      <c r="AC190" s="928">
        <v>0.28999999999999998</v>
      </c>
      <c r="AD190" s="928">
        <v>0.28999999999999998</v>
      </c>
      <c r="AE190" s="928">
        <v>0.25</v>
      </c>
      <c r="AF190" s="928">
        <v>0.25</v>
      </c>
      <c r="AG190" s="926">
        <f>+AG191+AG200</f>
        <v>1560000000</v>
      </c>
      <c r="AH190" s="926">
        <f>+AH191+AH200</f>
        <v>1771156569</v>
      </c>
      <c r="AI190" s="926">
        <f>+AI191+AI200</f>
        <v>2156403564</v>
      </c>
      <c r="AJ190" s="926">
        <f>+AJ191+AJ200</f>
        <v>1754989156</v>
      </c>
      <c r="AK190" s="926">
        <f>+AK191+AK200</f>
        <v>1560000000</v>
      </c>
      <c r="AL190" s="931">
        <f t="shared" si="249"/>
        <v>1</v>
      </c>
      <c r="AM190" s="926">
        <f>+AM191+AM200</f>
        <v>1408480736</v>
      </c>
      <c r="AN190" s="926">
        <f>+AN191+AN200</f>
        <v>1910274275</v>
      </c>
      <c r="AO190" s="926">
        <f>+AO191+AO200</f>
        <v>1716641085</v>
      </c>
      <c r="AP190" s="926">
        <f>+AP191+AP200</f>
        <v>1506659765</v>
      </c>
      <c r="AQ190" s="933">
        <f t="shared" si="250"/>
        <v>0.96580754166666671</v>
      </c>
      <c r="AR190" s="926">
        <f t="shared" ref="AR190:AX190" si="372">+AR191+AR200</f>
        <v>38348071</v>
      </c>
      <c r="AS190" s="926">
        <f t="shared" si="372"/>
        <v>362675833</v>
      </c>
      <c r="AT190" s="926">
        <f t="shared" si="372"/>
        <v>344200542</v>
      </c>
      <c r="AU190" s="926">
        <f t="shared" si="372"/>
        <v>246129289</v>
      </c>
      <c r="AV190" s="926">
        <f t="shared" si="372"/>
        <v>207989706</v>
      </c>
      <c r="AW190" s="926">
        <f t="shared" si="372"/>
        <v>38348071</v>
      </c>
      <c r="AX190" s="926">
        <f t="shared" si="372"/>
        <v>33136612.789999999</v>
      </c>
      <c r="AY190" s="934">
        <f t="shared" si="246"/>
        <v>0</v>
      </c>
      <c r="AZ190" s="926">
        <f t="shared" ref="AZ190" si="373">+AZ191+AZ200</f>
        <v>7357719358</v>
      </c>
      <c r="BA190" s="926">
        <f t="shared" si="253"/>
        <v>7242549289</v>
      </c>
      <c r="BB190" s="933">
        <f t="shared" si="247"/>
        <v>0.98434704241949966</v>
      </c>
      <c r="BC190" s="1010">
        <f t="shared" si="254"/>
        <v>7127382721.79</v>
      </c>
      <c r="BD190" s="928">
        <f t="shared" si="255"/>
        <v>0.96869456077316174</v>
      </c>
      <c r="BE190" s="926"/>
      <c r="BF190" s="926" t="s">
        <v>1694</v>
      </c>
      <c r="BG190" s="926"/>
      <c r="BH190" s="926"/>
    </row>
    <row r="191" spans="1:60" s="908" customFormat="1" ht="47.4" customHeight="1">
      <c r="A191" s="936" t="s">
        <v>2490</v>
      </c>
      <c r="B191" s="937"/>
      <c r="C191" s="937"/>
      <c r="D191" s="938"/>
      <c r="E191" s="938"/>
      <c r="F191" s="938"/>
      <c r="G191" s="938"/>
      <c r="H191" s="938"/>
      <c r="I191" s="938"/>
      <c r="J191" s="938"/>
      <c r="K191" s="938"/>
      <c r="L191" s="938"/>
      <c r="M191" s="938"/>
      <c r="N191" s="938"/>
      <c r="O191" s="939">
        <f>+SUMPRODUCT(O192:O199,AC192:AC199)</f>
        <v>0.93160000000000009</v>
      </c>
      <c r="P191" s="939">
        <f t="shared" ref="P191:R191" si="374">+SUMPRODUCT(P192:P199,AD192:AD199)</f>
        <v>0.86070599999999997</v>
      </c>
      <c r="Q191" s="939">
        <f t="shared" si="374"/>
        <v>0.80959999999999999</v>
      </c>
      <c r="R191" s="939">
        <f t="shared" si="374"/>
        <v>0.81399999999999995</v>
      </c>
      <c r="S191" s="1178"/>
      <c r="T191" s="1178"/>
      <c r="U191" s="937"/>
      <c r="V191" s="937"/>
      <c r="W191" s="937"/>
      <c r="X191" s="1178"/>
      <c r="Y191" s="1102"/>
      <c r="Z191" s="940"/>
      <c r="AA191" s="939">
        <f>+SUMPRODUCT(AA192:AA199,AB192:AB199)</f>
        <v>0.88704499999999997</v>
      </c>
      <c r="AB191" s="939">
        <v>0.9</v>
      </c>
      <c r="AC191" s="939">
        <v>1</v>
      </c>
      <c r="AD191" s="939">
        <v>0.9</v>
      </c>
      <c r="AE191" s="939">
        <v>0.9</v>
      </c>
      <c r="AF191" s="939">
        <v>1</v>
      </c>
      <c r="AG191" s="937">
        <f>SUM(AG192:AG199)</f>
        <v>1560000000</v>
      </c>
      <c r="AH191" s="937">
        <f>SUM(AH192:AH199)</f>
        <v>1771156569</v>
      </c>
      <c r="AI191" s="937">
        <f>SUM(AI192:AI199)</f>
        <v>1912286166</v>
      </c>
      <c r="AJ191" s="937">
        <f>SUM(AJ192:AJ199)</f>
        <v>1754989156</v>
      </c>
      <c r="AK191" s="937">
        <f>SUM(AK192:AK199)</f>
        <v>1560000000</v>
      </c>
      <c r="AL191" s="943">
        <f t="shared" si="249"/>
        <v>1</v>
      </c>
      <c r="AM191" s="937">
        <f>SUM(AM192:AM199)</f>
        <v>1408480736</v>
      </c>
      <c r="AN191" s="945">
        <f>SUM(AN192:AN199)</f>
        <v>1688979721</v>
      </c>
      <c r="AO191" s="945">
        <f>SUM(AO192:AO199)</f>
        <v>1716641085</v>
      </c>
      <c r="AP191" s="937">
        <f>SUM(AP192:AP199)</f>
        <v>1506659765</v>
      </c>
      <c r="AQ191" s="944">
        <f t="shared" si="250"/>
        <v>0.96580754166666671</v>
      </c>
      <c r="AR191" s="945">
        <f t="shared" ref="AR191:AX191" si="375">SUM(AR192:AR199)</f>
        <v>38348071</v>
      </c>
      <c r="AS191" s="937">
        <f t="shared" si="375"/>
        <v>362675833</v>
      </c>
      <c r="AT191" s="937">
        <f t="shared" si="375"/>
        <v>344200542</v>
      </c>
      <c r="AU191" s="937">
        <f t="shared" si="375"/>
        <v>223306445</v>
      </c>
      <c r="AV191" s="937">
        <f t="shared" si="375"/>
        <v>191552733</v>
      </c>
      <c r="AW191" s="937">
        <f t="shared" si="375"/>
        <v>38348071</v>
      </c>
      <c r="AX191" s="937">
        <f t="shared" si="375"/>
        <v>33136612.789999999</v>
      </c>
      <c r="AY191" s="946">
        <f t="shared" si="246"/>
        <v>2.0679561170104228</v>
      </c>
      <c r="AZ191" s="937">
        <f t="shared" ref="AZ191" si="376">SUM(AZ192:AZ199)</f>
        <v>7107719358</v>
      </c>
      <c r="BA191" s="937">
        <f t="shared" si="253"/>
        <v>6998431891</v>
      </c>
      <c r="BB191" s="944">
        <f t="shared" si="247"/>
        <v>0.98462411619037926</v>
      </c>
      <c r="BC191" s="1005">
        <f t="shared" si="254"/>
        <v>6889651194.79</v>
      </c>
      <c r="BD191" s="939">
        <f t="shared" si="255"/>
        <v>0.96931953103008262</v>
      </c>
      <c r="BE191" s="945"/>
      <c r="BF191" s="945"/>
      <c r="BG191" s="945"/>
      <c r="BH191" s="945"/>
    </row>
    <row r="192" spans="1:60" s="908" customFormat="1" ht="47.4" customHeight="1">
      <c r="A192" s="1179" t="s">
        <v>2491</v>
      </c>
      <c r="B192" s="1183" t="s">
        <v>2492</v>
      </c>
      <c r="C192" s="948" t="s">
        <v>1056</v>
      </c>
      <c r="D192" s="1219">
        <v>1</v>
      </c>
      <c r="E192" s="1219">
        <v>1</v>
      </c>
      <c r="F192" s="1219">
        <v>1</v>
      </c>
      <c r="G192" s="1219">
        <v>1</v>
      </c>
      <c r="H192" s="1326">
        <v>0.93500000000000005</v>
      </c>
      <c r="I192" s="951">
        <v>0.82</v>
      </c>
      <c r="J192" s="951">
        <v>0.88500000000000001</v>
      </c>
      <c r="K192" s="951">
        <v>1</v>
      </c>
      <c r="L192" s="951">
        <v>2.5000000000000001E-2</v>
      </c>
      <c r="M192" s="951"/>
      <c r="N192" s="951"/>
      <c r="O192" s="973">
        <f t="shared" ref="O192:Q199" si="377">+IFERROR(IF((H192+L192)/D192&gt;=100%,100%,(H192+L192)/D192),0)</f>
        <v>0.96000000000000008</v>
      </c>
      <c r="P192" s="973">
        <f t="shared" si="377"/>
        <v>0.82</v>
      </c>
      <c r="Q192" s="973">
        <f t="shared" si="377"/>
        <v>0.88500000000000001</v>
      </c>
      <c r="R192" s="951">
        <f t="shared" ref="R192:R199" si="378">+IFERROR(IF(K192/G192&gt;=100%,100%,K192/G192),0)</f>
        <v>1</v>
      </c>
      <c r="S192" s="908" t="s">
        <v>2493</v>
      </c>
      <c r="T192" s="974">
        <v>45107</v>
      </c>
      <c r="U192" s="985"/>
      <c r="V192" s="985"/>
      <c r="W192" s="952"/>
      <c r="X192" s="976"/>
      <c r="Y192" s="1212">
        <f t="shared" ref="Y192:Y199" si="379">SUM(D192:G192)</f>
        <v>4</v>
      </c>
      <c r="Z192" s="977">
        <f t="shared" ref="Z192:Z199" si="380">SUM(H192:N192)</f>
        <v>3.6649999999999996</v>
      </c>
      <c r="AA192" s="1026">
        <f t="shared" ref="AA192:AA199" si="381">IF(Z192/Y192&gt;=100%,100%,Z192/Y192)</f>
        <v>0.9162499999999999</v>
      </c>
      <c r="AB192" s="1213">
        <v>0.3</v>
      </c>
      <c r="AC192" s="1213">
        <v>0.36</v>
      </c>
      <c r="AD192" s="973">
        <v>0.31</v>
      </c>
      <c r="AE192" s="1023">
        <v>0.31</v>
      </c>
      <c r="AF192" s="1023">
        <v>0.35</v>
      </c>
      <c r="AG192" s="1214">
        <v>600000000</v>
      </c>
      <c r="AH192" s="1194">
        <f>299700000+367923631+632082938</f>
        <v>1299706569</v>
      </c>
      <c r="AI192" s="1194">
        <v>591956476</v>
      </c>
      <c r="AJ192" s="1194">
        <v>599128503</v>
      </c>
      <c r="AK192" s="1194">
        <v>600000000</v>
      </c>
      <c r="AL192" s="1025">
        <f t="shared" si="249"/>
        <v>1</v>
      </c>
      <c r="AM192" s="1194">
        <v>1110980736</v>
      </c>
      <c r="AN192" s="1194">
        <v>533085672</v>
      </c>
      <c r="AO192" s="1194">
        <v>592162763</v>
      </c>
      <c r="AP192" s="1194">
        <v>565662326</v>
      </c>
      <c r="AQ192" s="1026">
        <f t="shared" si="250"/>
        <v>0.94277054333333332</v>
      </c>
      <c r="AR192" s="958">
        <f t="shared" ref="AR192:AR199" si="382">+AJ192-AO192</f>
        <v>6965740</v>
      </c>
      <c r="AS192" s="1194">
        <f>43164523+100161310+45400000</f>
        <v>188725833</v>
      </c>
      <c r="AT192" s="1194">
        <f>35671583+89178959+45400000</f>
        <v>170250542</v>
      </c>
      <c r="AU192" s="1194">
        <v>58870804</v>
      </c>
      <c r="AV192" s="1194">
        <v>38190552</v>
      </c>
      <c r="AW192" s="1194">
        <v>6965740</v>
      </c>
      <c r="AX192" s="1194">
        <v>5826162.79</v>
      </c>
      <c r="AY192" s="1027">
        <f t="shared" si="246"/>
        <v>4.7570843571537269</v>
      </c>
      <c r="AZ192" s="1071">
        <v>3147719358</v>
      </c>
      <c r="BA192" s="1000">
        <f t="shared" si="253"/>
        <v>3090791548</v>
      </c>
      <c r="BB192" s="1026">
        <f t="shared" si="247"/>
        <v>0.98191458528368591</v>
      </c>
      <c r="BC192" s="1029">
        <f t="shared" si="254"/>
        <v>3016158753.79</v>
      </c>
      <c r="BD192" s="973">
        <f t="shared" si="255"/>
        <v>0.95820446829999761</v>
      </c>
      <c r="BE192" s="1030"/>
      <c r="BF192" s="1030"/>
      <c r="BG192" s="953" t="s">
        <v>875</v>
      </c>
      <c r="BH192" s="1195" t="s">
        <v>2150</v>
      </c>
    </row>
    <row r="193" spans="1:61" s="908" customFormat="1" ht="47.4" customHeight="1">
      <c r="A193" s="1179" t="s">
        <v>2494</v>
      </c>
      <c r="B193" s="1183" t="s">
        <v>2495</v>
      </c>
      <c r="C193" s="948" t="s">
        <v>1056</v>
      </c>
      <c r="D193" s="1219">
        <v>1</v>
      </c>
      <c r="E193" s="1219">
        <v>1</v>
      </c>
      <c r="F193" s="1219">
        <v>1</v>
      </c>
      <c r="G193" s="1219">
        <v>1</v>
      </c>
      <c r="H193" s="1219">
        <v>0.85</v>
      </c>
      <c r="I193" s="951">
        <v>0.67</v>
      </c>
      <c r="J193" s="951">
        <v>0.33500000000000002</v>
      </c>
      <c r="K193" s="951">
        <v>0.36</v>
      </c>
      <c r="L193" s="951">
        <v>0.11</v>
      </c>
      <c r="M193" s="951"/>
      <c r="N193" s="951"/>
      <c r="O193" s="973">
        <f t="shared" si="377"/>
        <v>0.96</v>
      </c>
      <c r="P193" s="973">
        <f t="shared" si="377"/>
        <v>0.67</v>
      </c>
      <c r="Q193" s="973">
        <f t="shared" si="377"/>
        <v>0.33500000000000002</v>
      </c>
      <c r="R193" s="951">
        <f t="shared" si="378"/>
        <v>0.36</v>
      </c>
      <c r="S193" s="1198" t="s">
        <v>2496</v>
      </c>
      <c r="T193" s="974">
        <v>45107</v>
      </c>
      <c r="U193" s="985"/>
      <c r="V193" s="985"/>
      <c r="W193" s="952"/>
      <c r="X193" s="976"/>
      <c r="Y193" s="1212">
        <f t="shared" si="379"/>
        <v>4</v>
      </c>
      <c r="Z193" s="977">
        <f t="shared" si="380"/>
        <v>2.3249999999999997</v>
      </c>
      <c r="AA193" s="1026">
        <f t="shared" si="381"/>
        <v>0.58124999999999993</v>
      </c>
      <c r="AB193" s="1213">
        <v>0.1</v>
      </c>
      <c r="AC193" s="1213">
        <v>0.16</v>
      </c>
      <c r="AD193" s="973">
        <v>0.11</v>
      </c>
      <c r="AE193" s="1023">
        <v>0.11</v>
      </c>
      <c r="AF193" s="1023">
        <v>0.15</v>
      </c>
      <c r="AG193" s="1214">
        <v>600000000</v>
      </c>
      <c r="AH193" s="1194">
        <v>299800000</v>
      </c>
      <c r="AI193" s="1194">
        <v>591956476</v>
      </c>
      <c r="AJ193" s="1194">
        <v>598749760</v>
      </c>
      <c r="AK193" s="1194">
        <v>600000000</v>
      </c>
      <c r="AL193" s="1025">
        <f t="shared" si="249"/>
        <v>1</v>
      </c>
      <c r="AM193" s="1194">
        <v>176800000</v>
      </c>
      <c r="AN193" s="1194">
        <v>522105349</v>
      </c>
      <c r="AO193" s="1194">
        <v>582148055</v>
      </c>
      <c r="AP193" s="1194">
        <v>598196848</v>
      </c>
      <c r="AQ193" s="1026">
        <f t="shared" si="250"/>
        <v>0.99699474666666665</v>
      </c>
      <c r="AR193" s="958">
        <f t="shared" si="382"/>
        <v>16601705</v>
      </c>
      <c r="AS193" s="1194">
        <v>123000000</v>
      </c>
      <c r="AT193" s="1194">
        <v>123000000</v>
      </c>
      <c r="AU193" s="1194">
        <v>69851127</v>
      </c>
      <c r="AV193" s="1194">
        <v>69018893</v>
      </c>
      <c r="AW193" s="1194">
        <v>16601705</v>
      </c>
      <c r="AX193" s="1194">
        <v>15318989</v>
      </c>
      <c r="AY193" s="1027">
        <f t="shared" si="246"/>
        <v>1.9959764849453716</v>
      </c>
      <c r="AZ193" s="1071">
        <v>2100000000</v>
      </c>
      <c r="BA193" s="1000">
        <f t="shared" si="253"/>
        <v>2090506236</v>
      </c>
      <c r="BB193" s="973">
        <f t="shared" si="247"/>
        <v>0.99547916000000003</v>
      </c>
      <c r="BC193" s="1029">
        <f t="shared" si="254"/>
        <v>2086588134</v>
      </c>
      <c r="BD193" s="973">
        <f t="shared" si="255"/>
        <v>0.99361339714285712</v>
      </c>
      <c r="BE193" s="1030"/>
      <c r="BF193" s="1030"/>
      <c r="BG193" s="953" t="s">
        <v>939</v>
      </c>
      <c r="BH193" s="1195" t="s">
        <v>2150</v>
      </c>
    </row>
    <row r="194" spans="1:61" s="908" customFormat="1" ht="47.4" customHeight="1">
      <c r="A194" s="1179" t="s">
        <v>2497</v>
      </c>
      <c r="B194" s="1215" t="s">
        <v>2498</v>
      </c>
      <c r="C194" s="948" t="s">
        <v>1056</v>
      </c>
      <c r="D194" s="1219">
        <v>1</v>
      </c>
      <c r="E194" s="1219">
        <v>1</v>
      </c>
      <c r="F194" s="1219">
        <v>1</v>
      </c>
      <c r="G194" s="1219">
        <v>1</v>
      </c>
      <c r="H194" s="1219">
        <v>0.66</v>
      </c>
      <c r="I194" s="951">
        <v>0.81</v>
      </c>
      <c r="J194" s="957">
        <v>0.83</v>
      </c>
      <c r="K194" s="957">
        <v>0.4</v>
      </c>
      <c r="L194" s="949"/>
      <c r="M194" s="949"/>
      <c r="N194" s="949"/>
      <c r="O194" s="973">
        <f t="shared" si="377"/>
        <v>0.66</v>
      </c>
      <c r="P194" s="973">
        <f t="shared" si="377"/>
        <v>0.81</v>
      </c>
      <c r="Q194" s="973">
        <f t="shared" si="377"/>
        <v>0.83</v>
      </c>
      <c r="R194" s="951">
        <f t="shared" si="378"/>
        <v>0.4</v>
      </c>
      <c r="S194" s="1198" t="s">
        <v>2499</v>
      </c>
      <c r="T194" s="974">
        <v>45107</v>
      </c>
      <c r="U194" s="985"/>
      <c r="V194" s="985"/>
      <c r="W194" s="952"/>
      <c r="X194" s="976"/>
      <c r="Y194" s="1212">
        <f t="shared" si="379"/>
        <v>4</v>
      </c>
      <c r="Z194" s="977">
        <f t="shared" si="380"/>
        <v>2.7</v>
      </c>
      <c r="AA194" s="1026">
        <f t="shared" si="381"/>
        <v>0.67500000000000004</v>
      </c>
      <c r="AB194" s="1213">
        <v>0.08</v>
      </c>
      <c r="AC194" s="1213">
        <v>0.14000000000000001</v>
      </c>
      <c r="AD194" s="973">
        <v>0.1</v>
      </c>
      <c r="AE194" s="1023">
        <v>0.11</v>
      </c>
      <c r="AF194" s="1023">
        <v>0.15</v>
      </c>
      <c r="AG194" s="1194">
        <v>60000000</v>
      </c>
      <c r="AH194" s="1194">
        <v>55450000</v>
      </c>
      <c r="AI194" s="1194">
        <v>58918176</v>
      </c>
      <c r="AJ194" s="1194">
        <v>59969313</v>
      </c>
      <c r="AK194" s="1194">
        <v>60000000</v>
      </c>
      <c r="AL194" s="1025">
        <f t="shared" si="249"/>
        <v>1</v>
      </c>
      <c r="AM194" s="1194">
        <v>22600000</v>
      </c>
      <c r="AN194" s="1194">
        <v>37870506</v>
      </c>
      <c r="AO194" s="1194">
        <v>58380176</v>
      </c>
      <c r="AP194" s="1194">
        <v>58454479</v>
      </c>
      <c r="AQ194" s="1026">
        <f t="shared" si="250"/>
        <v>0.97424131666666669</v>
      </c>
      <c r="AR194" s="958">
        <f t="shared" si="382"/>
        <v>1589137</v>
      </c>
      <c r="AS194" s="1194">
        <v>32850000</v>
      </c>
      <c r="AT194" s="1194">
        <v>32850000</v>
      </c>
      <c r="AU194" s="1194">
        <v>21047670</v>
      </c>
      <c r="AV194" s="1194">
        <v>16010209</v>
      </c>
      <c r="AW194" s="1194">
        <v>1589137</v>
      </c>
      <c r="AX194" s="1194">
        <v>970294</v>
      </c>
      <c r="AY194" s="1027">
        <f t="shared" si="246"/>
        <v>3.6662432439745598</v>
      </c>
      <c r="AZ194" s="1071">
        <v>240000000</v>
      </c>
      <c r="BA194" s="1000">
        <f t="shared" si="253"/>
        <v>234337489</v>
      </c>
      <c r="BB194" s="973">
        <f t="shared" si="247"/>
        <v>0.97640620416666668</v>
      </c>
      <c r="BC194" s="1029">
        <f t="shared" si="254"/>
        <v>227135664</v>
      </c>
      <c r="BD194" s="973">
        <f t="shared" si="255"/>
        <v>0.94639859999999998</v>
      </c>
      <c r="BE194" s="1030"/>
      <c r="BF194" s="1030"/>
      <c r="BG194" s="953" t="s">
        <v>1703</v>
      </c>
      <c r="BH194" s="1195" t="s">
        <v>2394</v>
      </c>
    </row>
    <row r="195" spans="1:61" s="908" customFormat="1" ht="90" hidden="1" customHeight="1">
      <c r="A195" s="1179" t="s">
        <v>2500</v>
      </c>
      <c r="B195" s="1183" t="s">
        <v>2304</v>
      </c>
      <c r="C195" s="980" t="s">
        <v>2108</v>
      </c>
      <c r="D195" s="1216">
        <v>0</v>
      </c>
      <c r="E195" s="1216">
        <v>1</v>
      </c>
      <c r="F195" s="1216">
        <v>0</v>
      </c>
      <c r="G195" s="1216">
        <v>0</v>
      </c>
      <c r="H195" s="1216">
        <v>0</v>
      </c>
      <c r="I195" s="950">
        <v>1</v>
      </c>
      <c r="J195" s="949">
        <v>0</v>
      </c>
      <c r="K195" s="949"/>
      <c r="L195" s="950"/>
      <c r="M195" s="950"/>
      <c r="N195" s="950"/>
      <c r="O195" s="973">
        <f t="shared" si="377"/>
        <v>0</v>
      </c>
      <c r="P195" s="973">
        <f t="shared" si="377"/>
        <v>1</v>
      </c>
      <c r="Q195" s="951">
        <f t="shared" si="377"/>
        <v>0</v>
      </c>
      <c r="R195" s="951">
        <f t="shared" si="378"/>
        <v>0</v>
      </c>
      <c r="S195" s="1198"/>
      <c r="T195" s="1198"/>
      <c r="U195" s="984"/>
      <c r="V195" s="985"/>
      <c r="W195" s="952"/>
      <c r="X195" s="975"/>
      <c r="Y195" s="1216">
        <f t="shared" si="379"/>
        <v>1</v>
      </c>
      <c r="Z195" s="956">
        <f t="shared" si="380"/>
        <v>1</v>
      </c>
      <c r="AA195" s="1026">
        <f t="shared" si="381"/>
        <v>1</v>
      </c>
      <c r="AB195" s="1213">
        <v>0.1</v>
      </c>
      <c r="AC195" s="1213">
        <v>0</v>
      </c>
      <c r="AD195" s="973">
        <v>0.12</v>
      </c>
      <c r="AE195" s="951">
        <v>0</v>
      </c>
      <c r="AF195" s="951">
        <v>0</v>
      </c>
      <c r="AG195" s="1194">
        <v>0</v>
      </c>
      <c r="AH195" s="1194" t="s">
        <v>2120</v>
      </c>
      <c r="AI195" s="1194">
        <v>244443805</v>
      </c>
      <c r="AJ195" s="1194">
        <v>0</v>
      </c>
      <c r="AK195" s="1194">
        <v>0</v>
      </c>
      <c r="AL195" s="1025">
        <v>0</v>
      </c>
      <c r="AM195" s="1194" t="s">
        <v>2120</v>
      </c>
      <c r="AN195" s="1194">
        <v>231001294</v>
      </c>
      <c r="AO195" s="1194">
        <v>0</v>
      </c>
      <c r="AP195" s="1194"/>
      <c r="AQ195" s="1026" t="e">
        <f t="shared" si="250"/>
        <v>#DIV/0!</v>
      </c>
      <c r="AR195" s="958">
        <f t="shared" si="382"/>
        <v>0</v>
      </c>
      <c r="AS195" s="1194" t="s">
        <v>2120</v>
      </c>
      <c r="AT195" s="1084">
        <v>0</v>
      </c>
      <c r="AU195" s="1194">
        <v>13442511</v>
      </c>
      <c r="AV195" s="1194">
        <v>11538257</v>
      </c>
      <c r="AW195" s="1194"/>
      <c r="AX195" s="1194"/>
      <c r="AY195" s="1027" t="e">
        <f t="shared" si="246"/>
        <v>#DIV/0!</v>
      </c>
      <c r="AZ195" s="1071">
        <v>250000000</v>
      </c>
      <c r="BA195" s="1000">
        <f t="shared" si="253"/>
        <v>244443805</v>
      </c>
      <c r="BB195" s="1026">
        <f t="shared" si="247"/>
        <v>0.97777521999999994</v>
      </c>
      <c r="BC195" s="1029">
        <f t="shared" si="254"/>
        <v>242539551</v>
      </c>
      <c r="BD195" s="973">
        <f t="shared" si="255"/>
        <v>0.97015820399999997</v>
      </c>
      <c r="BE195" s="1030"/>
      <c r="BF195" s="1030"/>
      <c r="BG195" s="953" t="s">
        <v>1703</v>
      </c>
      <c r="BH195" s="1195" t="s">
        <v>2150</v>
      </c>
    </row>
    <row r="196" spans="1:61" s="908" customFormat="1" ht="51.75" hidden="1" customHeight="1">
      <c r="A196" s="1179" t="s">
        <v>2501</v>
      </c>
      <c r="B196" s="1183" t="s">
        <v>2502</v>
      </c>
      <c r="C196" s="948" t="s">
        <v>1056</v>
      </c>
      <c r="D196" s="1212">
        <v>0</v>
      </c>
      <c r="E196" s="1212">
        <v>0</v>
      </c>
      <c r="F196" s="1212">
        <v>1</v>
      </c>
      <c r="G196" s="1212">
        <v>0</v>
      </c>
      <c r="H196" s="1212">
        <v>0</v>
      </c>
      <c r="I196" s="1212">
        <v>0</v>
      </c>
      <c r="J196" s="951">
        <v>1</v>
      </c>
      <c r="K196" s="951"/>
      <c r="L196" s="950"/>
      <c r="M196" s="950"/>
      <c r="N196" s="950"/>
      <c r="O196" s="973">
        <f t="shared" si="377"/>
        <v>0</v>
      </c>
      <c r="P196" s="1021">
        <f t="shared" si="377"/>
        <v>0</v>
      </c>
      <c r="Q196" s="973">
        <f t="shared" si="377"/>
        <v>1</v>
      </c>
      <c r="R196" s="951">
        <f t="shared" si="378"/>
        <v>0</v>
      </c>
      <c r="S196" s="1198"/>
      <c r="T196" s="1198"/>
      <c r="U196" s="985"/>
      <c r="V196" s="985"/>
      <c r="W196" s="952"/>
      <c r="X196" s="975"/>
      <c r="Y196" s="1212">
        <f t="shared" si="379"/>
        <v>1</v>
      </c>
      <c r="Z196" s="977">
        <f t="shared" si="380"/>
        <v>1</v>
      </c>
      <c r="AA196" s="1026">
        <f t="shared" si="381"/>
        <v>1</v>
      </c>
      <c r="AB196" s="1213">
        <v>0.1</v>
      </c>
      <c r="AC196" s="1213">
        <v>0</v>
      </c>
      <c r="AD196" s="973">
        <v>0</v>
      </c>
      <c r="AE196" s="1023">
        <v>0.11</v>
      </c>
      <c r="AF196" s="1023">
        <v>0</v>
      </c>
      <c r="AG196" s="1196">
        <v>0</v>
      </c>
      <c r="AH196" s="1194" t="s">
        <v>2120</v>
      </c>
      <c r="AI196" s="1194" t="s">
        <v>2120</v>
      </c>
      <c r="AJ196" s="1194">
        <v>197296632</v>
      </c>
      <c r="AK196" s="1194">
        <v>0</v>
      </c>
      <c r="AL196" s="1025">
        <v>0</v>
      </c>
      <c r="AM196" s="1194" t="s">
        <v>2120</v>
      </c>
      <c r="AN196" s="1194">
        <v>0</v>
      </c>
      <c r="AO196" s="1194">
        <v>192231990</v>
      </c>
      <c r="AP196" s="1194"/>
      <c r="AQ196" s="1026" t="e">
        <f t="shared" si="250"/>
        <v>#DIV/0!</v>
      </c>
      <c r="AR196" s="958">
        <f t="shared" si="382"/>
        <v>5064642</v>
      </c>
      <c r="AS196" s="1194" t="s">
        <v>2120</v>
      </c>
      <c r="AT196" s="1084">
        <v>0</v>
      </c>
      <c r="AU196" s="1194"/>
      <c r="AV196" s="1194"/>
      <c r="AW196" s="1194">
        <v>5064642</v>
      </c>
      <c r="AX196" s="1194">
        <v>3268468</v>
      </c>
      <c r="AY196" s="1027">
        <f t="shared" si="246"/>
        <v>0.19158195189314467</v>
      </c>
      <c r="AZ196" s="1071">
        <v>200000000</v>
      </c>
      <c r="BA196" s="1000">
        <f t="shared" si="253"/>
        <v>197296632</v>
      </c>
      <c r="BB196" s="973">
        <f t="shared" si="247"/>
        <v>0.98648316000000003</v>
      </c>
      <c r="BC196" s="1029">
        <f t="shared" si="254"/>
        <v>195500458</v>
      </c>
      <c r="BD196" s="973">
        <f t="shared" si="255"/>
        <v>0.97750229</v>
      </c>
      <c r="BE196" s="1030"/>
      <c r="BF196" s="1030"/>
      <c r="BG196" s="953" t="s">
        <v>1703</v>
      </c>
      <c r="BH196" s="1195" t="s">
        <v>2150</v>
      </c>
    </row>
    <row r="197" spans="1:61" s="908" customFormat="1" ht="47.4" customHeight="1">
      <c r="A197" s="1179" t="s">
        <v>2503</v>
      </c>
      <c r="B197" s="1183" t="s">
        <v>2504</v>
      </c>
      <c r="C197" s="948" t="s">
        <v>1056</v>
      </c>
      <c r="D197" s="1219">
        <v>1</v>
      </c>
      <c r="E197" s="1219">
        <v>1</v>
      </c>
      <c r="F197" s="1219">
        <v>1</v>
      </c>
      <c r="G197" s="1219">
        <v>1</v>
      </c>
      <c r="H197" s="1219">
        <v>1</v>
      </c>
      <c r="I197" s="951">
        <v>0.83499999999999996</v>
      </c>
      <c r="J197" s="951">
        <v>0.83</v>
      </c>
      <c r="K197" s="951">
        <v>1</v>
      </c>
      <c r="L197" s="949"/>
      <c r="M197" s="949"/>
      <c r="N197" s="949"/>
      <c r="O197" s="973">
        <f t="shared" si="377"/>
        <v>1</v>
      </c>
      <c r="P197" s="973">
        <f t="shared" si="377"/>
        <v>0.83499999999999996</v>
      </c>
      <c r="Q197" s="973">
        <f t="shared" si="377"/>
        <v>0.83</v>
      </c>
      <c r="R197" s="951">
        <f t="shared" si="378"/>
        <v>1</v>
      </c>
      <c r="S197" s="1198" t="s">
        <v>2505</v>
      </c>
      <c r="T197" s="974">
        <v>45107</v>
      </c>
      <c r="U197" s="985"/>
      <c r="V197" s="985"/>
      <c r="W197" s="952"/>
      <c r="X197" s="975"/>
      <c r="Y197" s="1212">
        <f t="shared" si="379"/>
        <v>4</v>
      </c>
      <c r="Z197" s="977">
        <f t="shared" si="380"/>
        <v>3.665</v>
      </c>
      <c r="AA197" s="1026">
        <f t="shared" si="381"/>
        <v>0.91625000000000001</v>
      </c>
      <c r="AB197" s="1213">
        <v>0.12</v>
      </c>
      <c r="AC197" s="1213">
        <v>0.18</v>
      </c>
      <c r="AD197" s="973">
        <v>0.13</v>
      </c>
      <c r="AE197" s="1023">
        <v>0.13</v>
      </c>
      <c r="AF197" s="1023">
        <v>0.2</v>
      </c>
      <c r="AG197" s="1217">
        <v>200000000</v>
      </c>
      <c r="AH197" s="1194">
        <v>60000000</v>
      </c>
      <c r="AI197" s="1194">
        <v>127981050</v>
      </c>
      <c r="AJ197" s="1194">
        <v>99948316</v>
      </c>
      <c r="AK197" s="1194">
        <v>200000000</v>
      </c>
      <c r="AL197" s="1025">
        <f t="shared" si="249"/>
        <v>1</v>
      </c>
      <c r="AM197" s="1194">
        <v>55700000</v>
      </c>
      <c r="AN197" s="1194">
        <v>119177761</v>
      </c>
      <c r="AO197" s="1194">
        <v>98111509</v>
      </c>
      <c r="AP197" s="1194">
        <v>186244261</v>
      </c>
      <c r="AQ197" s="1026">
        <f t="shared" si="250"/>
        <v>0.931221305</v>
      </c>
      <c r="AR197" s="958">
        <f t="shared" si="382"/>
        <v>1836807</v>
      </c>
      <c r="AS197" s="1194">
        <v>4300000</v>
      </c>
      <c r="AT197" s="1194">
        <v>4300000</v>
      </c>
      <c r="AU197" s="1194">
        <v>8803289</v>
      </c>
      <c r="AV197" s="1194">
        <v>7899554</v>
      </c>
      <c r="AW197" s="1194">
        <v>1836807</v>
      </c>
      <c r="AX197" s="1194">
        <v>1712091</v>
      </c>
      <c r="AY197" s="1027">
        <f t="shared" si="246"/>
        <v>0</v>
      </c>
      <c r="AZ197" s="1071">
        <v>490000000</v>
      </c>
      <c r="BA197" s="1000">
        <f t="shared" si="253"/>
        <v>487929366</v>
      </c>
      <c r="BB197" s="973">
        <f t="shared" si="247"/>
        <v>0.99577421632653063</v>
      </c>
      <c r="BC197" s="1029">
        <f t="shared" si="254"/>
        <v>473145176</v>
      </c>
      <c r="BD197" s="973">
        <f t="shared" si="255"/>
        <v>0.96560239999999997</v>
      </c>
      <c r="BE197" s="1030"/>
      <c r="BF197" s="1030"/>
      <c r="BG197" s="953" t="s">
        <v>1703</v>
      </c>
      <c r="BH197" s="1195" t="s">
        <v>2150</v>
      </c>
    </row>
    <row r="198" spans="1:61" s="908" customFormat="1" ht="47.4" customHeight="1">
      <c r="A198" s="1179" t="s">
        <v>2506</v>
      </c>
      <c r="B198" s="1215" t="s">
        <v>2507</v>
      </c>
      <c r="C198" s="948" t="s">
        <v>1056</v>
      </c>
      <c r="D198" s="1219">
        <v>1</v>
      </c>
      <c r="E198" s="1219">
        <v>1</v>
      </c>
      <c r="F198" s="1219">
        <v>1</v>
      </c>
      <c r="G198" s="1219">
        <v>1</v>
      </c>
      <c r="H198" s="1219">
        <v>1</v>
      </c>
      <c r="I198" s="951">
        <v>0.94379999999999997</v>
      </c>
      <c r="J198" s="957">
        <v>0.66</v>
      </c>
      <c r="K198" s="957">
        <v>1</v>
      </c>
      <c r="L198" s="949"/>
      <c r="M198" s="949"/>
      <c r="N198" s="949"/>
      <c r="O198" s="973">
        <f t="shared" si="377"/>
        <v>1</v>
      </c>
      <c r="P198" s="973">
        <f t="shared" si="377"/>
        <v>0.94379999999999997</v>
      </c>
      <c r="Q198" s="973">
        <f t="shared" si="377"/>
        <v>0.66</v>
      </c>
      <c r="R198" s="951">
        <f t="shared" si="378"/>
        <v>1</v>
      </c>
      <c r="S198" s="908" t="s">
        <v>2508</v>
      </c>
      <c r="T198" s="974">
        <v>45107</v>
      </c>
      <c r="U198" s="985"/>
      <c r="V198" s="985"/>
      <c r="W198" s="952"/>
      <c r="X198" s="975"/>
      <c r="Y198" s="1212">
        <f t="shared" si="379"/>
        <v>4</v>
      </c>
      <c r="Z198" s="977">
        <f t="shared" si="380"/>
        <v>3.6038000000000001</v>
      </c>
      <c r="AA198" s="1026">
        <f t="shared" si="381"/>
        <v>0.90095000000000003</v>
      </c>
      <c r="AB198" s="1213">
        <v>0.1</v>
      </c>
      <c r="AC198" s="1213">
        <v>0.16</v>
      </c>
      <c r="AD198" s="973">
        <v>0.12</v>
      </c>
      <c r="AE198" s="1023">
        <v>0.12</v>
      </c>
      <c r="AF198" s="1023">
        <v>0.15</v>
      </c>
      <c r="AG198" s="1217">
        <v>100000000</v>
      </c>
      <c r="AH198" s="1194">
        <v>56200000</v>
      </c>
      <c r="AI198" s="1194">
        <v>118136352</v>
      </c>
      <c r="AJ198" s="1194">
        <v>99948316</v>
      </c>
      <c r="AK198" s="1194">
        <v>100000000</v>
      </c>
      <c r="AL198" s="1025">
        <f t="shared" si="249"/>
        <v>1</v>
      </c>
      <c r="AM198" s="1194">
        <v>42400000</v>
      </c>
      <c r="AN198" s="1194">
        <v>112404117</v>
      </c>
      <c r="AO198" s="1194">
        <v>98189367</v>
      </c>
      <c r="AP198" s="1194">
        <v>98101851</v>
      </c>
      <c r="AQ198" s="1026">
        <f t="shared" si="250"/>
        <v>0.98101850999999995</v>
      </c>
      <c r="AR198" s="958">
        <f t="shared" si="382"/>
        <v>1758949</v>
      </c>
      <c r="AS198" s="1194">
        <v>13800000</v>
      </c>
      <c r="AT198" s="1194">
        <v>13800000</v>
      </c>
      <c r="AU198" s="1194">
        <v>5732235</v>
      </c>
      <c r="AV198" s="1194">
        <v>4857313</v>
      </c>
      <c r="AW198" s="1194">
        <v>1758949</v>
      </c>
      <c r="AX198" s="1194">
        <v>1634233</v>
      </c>
      <c r="AY198" s="1027">
        <f t="shared" si="246"/>
        <v>1.8581937281865477</v>
      </c>
      <c r="AZ198" s="1071">
        <v>380000000</v>
      </c>
      <c r="BA198" s="1000">
        <f t="shared" si="253"/>
        <v>374284668</v>
      </c>
      <c r="BB198" s="973">
        <f t="shared" si="247"/>
        <v>0.98495965263157892</v>
      </c>
      <c r="BC198" s="1029">
        <f t="shared" si="254"/>
        <v>371386881</v>
      </c>
      <c r="BD198" s="973">
        <f t="shared" si="255"/>
        <v>0.97733389736842102</v>
      </c>
      <c r="BE198" s="1030"/>
      <c r="BF198" s="1030"/>
      <c r="BG198" s="953" t="s">
        <v>1703</v>
      </c>
      <c r="BH198" s="1195" t="s">
        <v>2509</v>
      </c>
    </row>
    <row r="199" spans="1:61" s="908" customFormat="1" ht="96" hidden="1" customHeight="1">
      <c r="A199" s="1179" t="s">
        <v>2510</v>
      </c>
      <c r="B199" s="1183" t="s">
        <v>2511</v>
      </c>
      <c r="C199" s="980" t="s">
        <v>2108</v>
      </c>
      <c r="D199" s="1216">
        <v>0</v>
      </c>
      <c r="E199" s="1216">
        <v>1</v>
      </c>
      <c r="F199" s="1033">
        <v>0.1</v>
      </c>
      <c r="G199" s="1033">
        <v>0</v>
      </c>
      <c r="H199" s="1216">
        <v>0</v>
      </c>
      <c r="I199" s="950">
        <v>0</v>
      </c>
      <c r="J199" s="981">
        <v>0.1</v>
      </c>
      <c r="K199" s="986"/>
      <c r="L199" s="950"/>
      <c r="M199" s="1131">
        <v>1</v>
      </c>
      <c r="N199" s="950"/>
      <c r="O199" s="973">
        <f t="shared" si="377"/>
        <v>0</v>
      </c>
      <c r="P199" s="973">
        <f t="shared" si="377"/>
        <v>1</v>
      </c>
      <c r="Q199" s="973">
        <f t="shared" si="377"/>
        <v>1</v>
      </c>
      <c r="R199" s="951">
        <f t="shared" si="378"/>
        <v>0</v>
      </c>
      <c r="S199" s="1198"/>
      <c r="T199" s="1198"/>
      <c r="U199" s="984"/>
      <c r="V199" s="985"/>
      <c r="W199" s="952"/>
      <c r="X199" s="1198"/>
      <c r="Y199" s="1216">
        <f t="shared" si="379"/>
        <v>1.1000000000000001</v>
      </c>
      <c r="Z199" s="956">
        <f t="shared" si="380"/>
        <v>1.1000000000000001</v>
      </c>
      <c r="AA199" s="1026">
        <f t="shared" si="381"/>
        <v>1</v>
      </c>
      <c r="AB199" s="1213">
        <v>0.1</v>
      </c>
      <c r="AC199" s="1213">
        <v>0</v>
      </c>
      <c r="AD199" s="973">
        <v>0.11</v>
      </c>
      <c r="AE199" s="1023">
        <v>0.11</v>
      </c>
      <c r="AF199" s="1023">
        <v>0</v>
      </c>
      <c r="AG199" s="1194">
        <v>0</v>
      </c>
      <c r="AH199" s="1194" t="s">
        <v>2120</v>
      </c>
      <c r="AI199" s="1194">
        <v>178893831</v>
      </c>
      <c r="AJ199" s="1194">
        <v>99948316</v>
      </c>
      <c r="AK199" s="1194">
        <v>0</v>
      </c>
      <c r="AL199" s="1025">
        <v>0</v>
      </c>
      <c r="AM199" s="1194" t="s">
        <v>2120</v>
      </c>
      <c r="AN199" s="1194">
        <v>133335022</v>
      </c>
      <c r="AO199" s="1194">
        <v>95417225</v>
      </c>
      <c r="AP199" s="1194"/>
      <c r="AQ199" s="1026" t="e">
        <f t="shared" si="250"/>
        <v>#DIV/0!</v>
      </c>
      <c r="AR199" s="958">
        <f t="shared" si="382"/>
        <v>4531091</v>
      </c>
      <c r="AS199" s="1194" t="s">
        <v>2120</v>
      </c>
      <c r="AT199" s="1084">
        <v>0</v>
      </c>
      <c r="AU199" s="1194">
        <v>45558809</v>
      </c>
      <c r="AV199" s="1194">
        <v>44037955</v>
      </c>
      <c r="AW199" s="1194">
        <v>4531091</v>
      </c>
      <c r="AX199" s="1194">
        <v>4406375</v>
      </c>
      <c r="AY199" s="1027">
        <f t="shared" si="246"/>
        <v>0.37785403118145278</v>
      </c>
      <c r="AZ199" s="1071">
        <v>300000000</v>
      </c>
      <c r="BA199" s="1000">
        <f t="shared" si="253"/>
        <v>278842147</v>
      </c>
      <c r="BB199" s="973">
        <f t="shared" si="247"/>
        <v>0.92947382333333328</v>
      </c>
      <c r="BC199" s="1029">
        <f t="shared" si="254"/>
        <v>277196577</v>
      </c>
      <c r="BD199" s="973">
        <f t="shared" si="255"/>
        <v>0.92398859</v>
      </c>
      <c r="BE199" s="1030"/>
      <c r="BF199" s="1030"/>
      <c r="BG199" s="953" t="s">
        <v>1703</v>
      </c>
      <c r="BH199" s="1195" t="s">
        <v>2509</v>
      </c>
    </row>
    <row r="200" spans="1:61" s="908" customFormat="1" ht="54" hidden="1" customHeight="1">
      <c r="A200" s="936" t="s">
        <v>2512</v>
      </c>
      <c r="B200" s="937"/>
      <c r="C200" s="937"/>
      <c r="D200" s="938"/>
      <c r="E200" s="938"/>
      <c r="F200" s="938"/>
      <c r="G200" s="938"/>
      <c r="H200" s="938"/>
      <c r="I200" s="938"/>
      <c r="J200" s="938"/>
      <c r="K200" s="938"/>
      <c r="L200" s="938"/>
      <c r="M200" s="938"/>
      <c r="N200" s="938"/>
      <c r="O200" s="939">
        <f>+O201*AC201</f>
        <v>0</v>
      </c>
      <c r="P200" s="939">
        <f t="shared" ref="P200:R200" si="383">+P201*AD201</f>
        <v>1</v>
      </c>
      <c r="Q200" s="939">
        <f t="shared" si="383"/>
        <v>0</v>
      </c>
      <c r="R200" s="939">
        <f t="shared" si="383"/>
        <v>0</v>
      </c>
      <c r="S200" s="1178"/>
      <c r="T200" s="1178"/>
      <c r="U200" s="937"/>
      <c r="V200" s="937"/>
      <c r="W200" s="937"/>
      <c r="X200" s="1178"/>
      <c r="Y200" s="1102"/>
      <c r="Z200" s="940"/>
      <c r="AA200" s="939">
        <f>+SUMPRODUCT(AA201:AA201,AB201:AB201)</f>
        <v>1</v>
      </c>
      <c r="AB200" s="939">
        <v>0.1</v>
      </c>
      <c r="AC200" s="939">
        <v>0</v>
      </c>
      <c r="AD200" s="939">
        <v>0.1</v>
      </c>
      <c r="AE200" s="939">
        <v>0.1</v>
      </c>
      <c r="AF200" s="939">
        <v>0</v>
      </c>
      <c r="AG200" s="937">
        <f>SUM(AG201)</f>
        <v>0</v>
      </c>
      <c r="AH200" s="937">
        <f>SUM(AH201)</f>
        <v>0</v>
      </c>
      <c r="AI200" s="937">
        <f>SUM(AI201)</f>
        <v>244117398</v>
      </c>
      <c r="AJ200" s="937">
        <f>SUM(AJ201)</f>
        <v>0</v>
      </c>
      <c r="AK200" s="937">
        <f>SUM(AK201)</f>
        <v>0</v>
      </c>
      <c r="AL200" s="943">
        <v>0</v>
      </c>
      <c r="AM200" s="937">
        <f>SUM(AM201)</f>
        <v>0</v>
      </c>
      <c r="AN200" s="937">
        <f>SUM(AN201)</f>
        <v>221294554</v>
      </c>
      <c r="AO200" s="937">
        <f>SUM(AO201)</f>
        <v>0</v>
      </c>
      <c r="AP200" s="937"/>
      <c r="AQ200" s="944" t="e">
        <f t="shared" si="250"/>
        <v>#DIV/0!</v>
      </c>
      <c r="AR200" s="945">
        <f t="shared" ref="AR200:AX200" si="384">SUM(AR201)</f>
        <v>0</v>
      </c>
      <c r="AS200" s="937">
        <f t="shared" si="384"/>
        <v>0</v>
      </c>
      <c r="AT200" s="937">
        <f t="shared" si="384"/>
        <v>0</v>
      </c>
      <c r="AU200" s="937">
        <f t="shared" si="384"/>
        <v>22822844</v>
      </c>
      <c r="AV200" s="937">
        <f t="shared" si="384"/>
        <v>16436973</v>
      </c>
      <c r="AW200" s="937">
        <f t="shared" si="384"/>
        <v>0</v>
      </c>
      <c r="AX200" s="937">
        <f t="shared" si="384"/>
        <v>0</v>
      </c>
      <c r="AY200" s="946" t="e">
        <f t="shared" si="246"/>
        <v>#DIV/0!</v>
      </c>
      <c r="AZ200" s="937">
        <f t="shared" ref="AZ200" si="385">SUM(AZ201)</f>
        <v>250000000</v>
      </c>
      <c r="BA200" s="937">
        <f t="shared" si="253"/>
        <v>244117398</v>
      </c>
      <c r="BB200" s="944">
        <f t="shared" si="247"/>
        <v>0.97646959200000005</v>
      </c>
      <c r="BC200" s="1005">
        <f t="shared" si="254"/>
        <v>237731527</v>
      </c>
      <c r="BD200" s="939">
        <f t="shared" si="255"/>
        <v>0.95092610799999999</v>
      </c>
      <c r="BE200" s="945"/>
      <c r="BF200" s="945"/>
      <c r="BG200" s="945"/>
      <c r="BH200" s="945"/>
    </row>
    <row r="201" spans="1:61" s="908" customFormat="1" ht="108.75" hidden="1" customHeight="1">
      <c r="A201" s="1189" t="s">
        <v>2513</v>
      </c>
      <c r="B201" s="1197" t="s">
        <v>2514</v>
      </c>
      <c r="C201" s="980" t="s">
        <v>2108</v>
      </c>
      <c r="D201" s="1181">
        <v>0</v>
      </c>
      <c r="E201" s="1181">
        <v>1</v>
      </c>
      <c r="F201" s="1181">
        <v>0</v>
      </c>
      <c r="G201" s="1181">
        <v>0</v>
      </c>
      <c r="H201" s="949">
        <v>0</v>
      </c>
      <c r="I201" s="949">
        <v>1</v>
      </c>
      <c r="J201" s="949">
        <v>0</v>
      </c>
      <c r="K201" s="949"/>
      <c r="L201" s="949"/>
      <c r="M201" s="949"/>
      <c r="N201" s="949"/>
      <c r="O201" s="951">
        <f>+IFERROR(IF((H201+L201)/D201&gt;=100%,100%,(H201+L201)/D201),0)</f>
        <v>0</v>
      </c>
      <c r="P201" s="973">
        <f>+IFERROR(IF((I201+M201)/E201&gt;=100%,100%,(I201+M201)/E201),0)</f>
        <v>1</v>
      </c>
      <c r="Q201" s="951">
        <f>+IFERROR(IF((J201+N201)/F201&gt;=100%,100%,(J201+N201)/F201),0)</f>
        <v>0</v>
      </c>
      <c r="R201" s="951">
        <f>+IFERROR(IF(K201/G201&gt;=100%,100%,K201/G201),0)</f>
        <v>0</v>
      </c>
      <c r="U201" s="954"/>
      <c r="V201" s="912"/>
      <c r="W201" s="953"/>
      <c r="Y201" s="1216">
        <f t="shared" ref="Y201" si="386">SUM(D201:G201)</f>
        <v>1</v>
      </c>
      <c r="Z201" s="956">
        <f t="shared" ref="Z201" si="387">SUM(H201:N201)</f>
        <v>1</v>
      </c>
      <c r="AA201" s="971">
        <f t="shared" ref="AA201" si="388">IF(Z201/Y201&gt;=100%,100%,Z201/Y201)</f>
        <v>1</v>
      </c>
      <c r="AB201" s="1212">
        <v>1</v>
      </c>
      <c r="AC201" s="1212">
        <v>0</v>
      </c>
      <c r="AD201" s="1212">
        <v>1</v>
      </c>
      <c r="AE201" s="1212">
        <v>0</v>
      </c>
      <c r="AF201" s="1212">
        <v>0</v>
      </c>
      <c r="AG201" s="1187">
        <v>0</v>
      </c>
      <c r="AH201" s="1194" t="s">
        <v>2120</v>
      </c>
      <c r="AI201" s="1187">
        <v>244117398</v>
      </c>
      <c r="AJ201" s="1187">
        <v>0</v>
      </c>
      <c r="AK201" s="1187">
        <v>0</v>
      </c>
      <c r="AL201" s="959">
        <v>0</v>
      </c>
      <c r="AM201" s="1194" t="s">
        <v>2120</v>
      </c>
      <c r="AN201" s="1187">
        <v>221294554</v>
      </c>
      <c r="AO201" s="1187">
        <v>0</v>
      </c>
      <c r="AP201" s="1187"/>
      <c r="AQ201" s="971" t="e">
        <f t="shared" si="250"/>
        <v>#DIV/0!</v>
      </c>
      <c r="AR201" s="958">
        <f>+AJ201-AO201</f>
        <v>0</v>
      </c>
      <c r="AS201" s="1194" t="s">
        <v>2120</v>
      </c>
      <c r="AT201" s="1084">
        <v>0</v>
      </c>
      <c r="AU201" s="1194">
        <v>22822844</v>
      </c>
      <c r="AV201" s="1194">
        <v>16436973</v>
      </c>
      <c r="AW201" s="1194"/>
      <c r="AX201" s="1194"/>
      <c r="AY201" s="999" t="e">
        <f t="shared" ref="AY201:AY264" si="389">+AX199/AW201</f>
        <v>#DIV/0!</v>
      </c>
      <c r="AZ201" s="1084">
        <v>250000000</v>
      </c>
      <c r="BA201" s="1000">
        <f t="shared" si="253"/>
        <v>244117398</v>
      </c>
      <c r="BB201" s="971">
        <f t="shared" si="247"/>
        <v>0.97646959200000005</v>
      </c>
      <c r="BC201" s="1001">
        <f t="shared" si="254"/>
        <v>237731527</v>
      </c>
      <c r="BD201" s="951">
        <f t="shared" si="255"/>
        <v>0.95092610799999999</v>
      </c>
      <c r="BE201" s="969"/>
      <c r="BF201" s="969"/>
      <c r="BG201" s="953" t="s">
        <v>1703</v>
      </c>
      <c r="BH201" s="1191" t="s">
        <v>2150</v>
      </c>
    </row>
    <row r="202" spans="1:61" s="935" customFormat="1" ht="47.4" customHeight="1">
      <c r="A202" s="925" t="s">
        <v>2515</v>
      </c>
      <c r="B202" s="926"/>
      <c r="C202" s="926"/>
      <c r="D202" s="927"/>
      <c r="E202" s="927"/>
      <c r="F202" s="1108"/>
      <c r="G202" s="1108"/>
      <c r="H202" s="927"/>
      <c r="I202" s="927"/>
      <c r="J202" s="1108"/>
      <c r="K202" s="1108"/>
      <c r="L202" s="927"/>
      <c r="M202" s="927"/>
      <c r="N202" s="927"/>
      <c r="O202" s="928">
        <f>+(O203*AC203)</f>
        <v>1</v>
      </c>
      <c r="P202" s="928">
        <f t="shared" ref="P202:R202" si="390">+(P203*AD203)</f>
        <v>1</v>
      </c>
      <c r="Q202" s="928">
        <f t="shared" si="390"/>
        <v>1</v>
      </c>
      <c r="R202" s="928">
        <f t="shared" si="390"/>
        <v>1</v>
      </c>
      <c r="S202" s="1176"/>
      <c r="T202" s="1176"/>
      <c r="U202" s="926"/>
      <c r="V202" s="926"/>
      <c r="W202" s="926"/>
      <c r="X202" s="1176"/>
      <c r="Y202" s="1177"/>
      <c r="Z202" s="929"/>
      <c r="AA202" s="928">
        <f>+(AA203*AB203)</f>
        <v>1</v>
      </c>
      <c r="AB202" s="928">
        <v>0.15</v>
      </c>
      <c r="AC202" s="928">
        <v>0.19</v>
      </c>
      <c r="AD202" s="928">
        <v>0.18</v>
      </c>
      <c r="AE202" s="928">
        <v>0.15</v>
      </c>
      <c r="AF202" s="928">
        <v>0.15</v>
      </c>
      <c r="AG202" s="926">
        <f>+AG203</f>
        <v>1200000000</v>
      </c>
      <c r="AH202" s="926">
        <f>+AH203</f>
        <v>176700000</v>
      </c>
      <c r="AI202" s="926">
        <f>+AI203</f>
        <v>181800319</v>
      </c>
      <c r="AJ202" s="926">
        <f>+AJ203</f>
        <v>488140412</v>
      </c>
      <c r="AK202" s="926">
        <f>+AK203</f>
        <v>1200000000</v>
      </c>
      <c r="AL202" s="931">
        <f t="shared" si="249"/>
        <v>1</v>
      </c>
      <c r="AM202" s="926">
        <f>+AM203</f>
        <v>97200000</v>
      </c>
      <c r="AN202" s="926">
        <f>+AN203</f>
        <v>153323642</v>
      </c>
      <c r="AO202" s="926">
        <f>+AO203</f>
        <v>248222958</v>
      </c>
      <c r="AP202" s="926">
        <f>+AP203</f>
        <v>650947454.53999996</v>
      </c>
      <c r="AQ202" s="933">
        <f t="shared" si="250"/>
        <v>0.54245621211666661</v>
      </c>
      <c r="AR202" s="926">
        <f t="shared" ref="AR202:AX202" si="391">+AR203</f>
        <v>239917454</v>
      </c>
      <c r="AS202" s="926">
        <f t="shared" si="391"/>
        <v>79500000</v>
      </c>
      <c r="AT202" s="926">
        <f t="shared" si="391"/>
        <v>79500000</v>
      </c>
      <c r="AU202" s="926">
        <f t="shared" si="391"/>
        <v>28476677</v>
      </c>
      <c r="AV202" s="926">
        <f t="shared" si="391"/>
        <v>25021150</v>
      </c>
      <c r="AW202" s="926">
        <f t="shared" si="391"/>
        <v>239917454</v>
      </c>
      <c r="AX202" s="926">
        <f t="shared" si="391"/>
        <v>236100441</v>
      </c>
      <c r="AY202" s="934">
        <f t="shared" si="389"/>
        <v>0</v>
      </c>
      <c r="AZ202" s="926">
        <f t="shared" ref="AZ202" si="392">+AZ203</f>
        <v>2170000000</v>
      </c>
      <c r="BA202" s="926">
        <f t="shared" si="253"/>
        <v>2046640731</v>
      </c>
      <c r="BB202" s="928">
        <f t="shared" si="247"/>
        <v>0.94315241059907839</v>
      </c>
      <c r="BC202" s="1010">
        <f t="shared" si="254"/>
        <v>1490315645.54</v>
      </c>
      <c r="BD202" s="928">
        <f t="shared" si="255"/>
        <v>0.68678140347465433</v>
      </c>
      <c r="BE202" s="926"/>
      <c r="BF202" s="926" t="s">
        <v>1698</v>
      </c>
      <c r="BG202" s="926"/>
      <c r="BH202" s="926"/>
      <c r="BI202" s="935" t="s">
        <v>2103</v>
      </c>
    </row>
    <row r="203" spans="1:61" s="908" customFormat="1" ht="47.4" customHeight="1">
      <c r="A203" s="936" t="s">
        <v>2516</v>
      </c>
      <c r="B203" s="937"/>
      <c r="C203" s="937"/>
      <c r="D203" s="938"/>
      <c r="E203" s="938"/>
      <c r="F203" s="938"/>
      <c r="G203" s="938"/>
      <c r="H203" s="938"/>
      <c r="I203" s="938"/>
      <c r="J203" s="938"/>
      <c r="K203" s="938"/>
      <c r="L203" s="938"/>
      <c r="M203" s="938"/>
      <c r="N203" s="938"/>
      <c r="O203" s="939">
        <f>+SUMPRODUCT(O204:O207,AC204:AC207)</f>
        <v>1</v>
      </c>
      <c r="P203" s="939">
        <f t="shared" ref="P203:R203" si="393">+SUMPRODUCT(P204:P207,AD204:AD207)</f>
        <v>1</v>
      </c>
      <c r="Q203" s="939">
        <f t="shared" si="393"/>
        <v>1</v>
      </c>
      <c r="R203" s="939">
        <f t="shared" si="393"/>
        <v>1</v>
      </c>
      <c r="S203" s="1178"/>
      <c r="T203" s="1178"/>
      <c r="U203" s="937"/>
      <c r="V203" s="937"/>
      <c r="W203" s="937"/>
      <c r="X203" s="1178"/>
      <c r="Y203" s="1102"/>
      <c r="Z203" s="940"/>
      <c r="AA203" s="939">
        <f>+SUMPRODUCT(AA204:AA207,AB204:AB207)</f>
        <v>1</v>
      </c>
      <c r="AB203" s="939">
        <v>1</v>
      </c>
      <c r="AC203" s="939">
        <v>1</v>
      </c>
      <c r="AD203" s="939">
        <v>1</v>
      </c>
      <c r="AE203" s="939">
        <v>1</v>
      </c>
      <c r="AF203" s="939">
        <v>1</v>
      </c>
      <c r="AG203" s="937">
        <f>SUM(AG204:AG207)</f>
        <v>1200000000</v>
      </c>
      <c r="AH203" s="937">
        <f>SUM(AH204:AH207)</f>
        <v>176700000</v>
      </c>
      <c r="AI203" s="937">
        <f>SUM(AI204:AI207)</f>
        <v>181800319</v>
      </c>
      <c r="AJ203" s="937">
        <f>SUM(AJ204:AJ207)</f>
        <v>488140412</v>
      </c>
      <c r="AK203" s="937">
        <f>SUM(AK204:AK207)</f>
        <v>1200000000</v>
      </c>
      <c r="AL203" s="943">
        <f t="shared" si="249"/>
        <v>1</v>
      </c>
      <c r="AM203" s="937">
        <f>SUM(AM204:AM207)</f>
        <v>97200000</v>
      </c>
      <c r="AN203" s="937">
        <f>SUM(AN204:AN207)</f>
        <v>153323642</v>
      </c>
      <c r="AO203" s="937">
        <f>SUM(AO204:AO207)</f>
        <v>248222958</v>
      </c>
      <c r="AP203" s="937">
        <f>SUM(AP204:AP207)</f>
        <v>650947454.53999996</v>
      </c>
      <c r="AQ203" s="944">
        <f t="shared" si="250"/>
        <v>0.54245621211666661</v>
      </c>
      <c r="AR203" s="945">
        <f t="shared" ref="AR203:AX203" si="394">SUM(AR204:AR207)</f>
        <v>239917454</v>
      </c>
      <c r="AS203" s="937">
        <f t="shared" si="394"/>
        <v>79500000</v>
      </c>
      <c r="AT203" s="937">
        <f t="shared" si="394"/>
        <v>79500000</v>
      </c>
      <c r="AU203" s="937">
        <f t="shared" si="394"/>
        <v>28476677</v>
      </c>
      <c r="AV203" s="937">
        <f t="shared" si="394"/>
        <v>25021150</v>
      </c>
      <c r="AW203" s="937">
        <f t="shared" si="394"/>
        <v>239917454</v>
      </c>
      <c r="AX203" s="937">
        <f t="shared" si="394"/>
        <v>236100441</v>
      </c>
      <c r="AY203" s="946">
        <f t="shared" si="389"/>
        <v>0</v>
      </c>
      <c r="AZ203" s="937">
        <f t="shared" ref="AZ203" si="395">SUM(AZ204:AZ207)</f>
        <v>2170000000</v>
      </c>
      <c r="BA203" s="937">
        <f t="shared" si="253"/>
        <v>2046640731</v>
      </c>
      <c r="BB203" s="939">
        <f t="shared" si="247"/>
        <v>0.94315241059907839</v>
      </c>
      <c r="BC203" s="1005">
        <f t="shared" si="254"/>
        <v>1490315645.54</v>
      </c>
      <c r="BD203" s="939">
        <f t="shared" si="255"/>
        <v>0.68678140347465433</v>
      </c>
      <c r="BE203" s="945"/>
      <c r="BF203" s="945"/>
      <c r="BG203" s="945"/>
      <c r="BH203" s="945"/>
      <c r="BI203" s="908" t="s">
        <v>2103</v>
      </c>
    </row>
    <row r="204" spans="1:61" s="908" customFormat="1" ht="47.4" customHeight="1">
      <c r="A204" s="1184" t="s">
        <v>2517</v>
      </c>
      <c r="B204" s="1192" t="s">
        <v>2518</v>
      </c>
      <c r="C204" s="980" t="s">
        <v>2108</v>
      </c>
      <c r="D204" s="1033">
        <v>0</v>
      </c>
      <c r="E204" s="1033">
        <v>0</v>
      </c>
      <c r="F204" s="1033">
        <v>0</v>
      </c>
      <c r="G204" s="1033">
        <v>4</v>
      </c>
      <c r="H204" s="949">
        <v>0</v>
      </c>
      <c r="I204" s="949">
        <v>0</v>
      </c>
      <c r="J204" s="949">
        <v>0</v>
      </c>
      <c r="K204" s="949">
        <v>4</v>
      </c>
      <c r="L204" s="949"/>
      <c r="M204" s="949"/>
      <c r="N204" s="949"/>
      <c r="O204" s="951">
        <f t="shared" ref="O204:Q207" si="396">+IFERROR(IF((H204+L204)/D204&gt;=100%,100%,(H204+L204)/D204),0)</f>
        <v>0</v>
      </c>
      <c r="P204" s="1021">
        <f t="shared" si="396"/>
        <v>0</v>
      </c>
      <c r="Q204" s="951">
        <f t="shared" si="396"/>
        <v>0</v>
      </c>
      <c r="R204" s="951">
        <f t="shared" ref="R204:R207" si="397">+IFERROR(IF(K204/G204&gt;=100%,100%,K204/G204),0)</f>
        <v>1</v>
      </c>
      <c r="S204" s="908" t="s">
        <v>2519</v>
      </c>
      <c r="T204" s="974">
        <v>45107</v>
      </c>
      <c r="U204" s="954"/>
      <c r="V204" s="912"/>
      <c r="W204" s="953"/>
      <c r="Y204" s="912">
        <f t="shared" ref="Y204:Y207" si="398">SUM(D204:G204)</f>
        <v>4</v>
      </c>
      <c r="Z204" s="956">
        <f t="shared" ref="Z204:Z207" si="399">SUM(H204:N204)</f>
        <v>4</v>
      </c>
      <c r="AA204" s="971">
        <f t="shared" ref="AA204:AA207" si="400">IF(Z204/Y204&gt;=100%,100%,Z204/Y204)</f>
        <v>1</v>
      </c>
      <c r="AB204" s="1201">
        <v>0.3</v>
      </c>
      <c r="AC204" s="1201">
        <v>0</v>
      </c>
      <c r="AD204" s="951">
        <v>0</v>
      </c>
      <c r="AE204" s="951">
        <v>0</v>
      </c>
      <c r="AF204" s="1201">
        <v>0.3</v>
      </c>
      <c r="AG204" s="1186">
        <v>500000000</v>
      </c>
      <c r="AH204" s="1202" t="s">
        <v>2120</v>
      </c>
      <c r="AI204" s="1202" t="s">
        <v>2120</v>
      </c>
      <c r="AJ204" s="1202"/>
      <c r="AK204" s="1218">
        <v>500000000</v>
      </c>
      <c r="AL204" s="959">
        <f t="shared" ref="AL204:AL267" si="401">+AK204/AG204</f>
        <v>1</v>
      </c>
      <c r="AM204" s="1202" t="s">
        <v>2120</v>
      </c>
      <c r="AN204" s="1202" t="s">
        <v>2120</v>
      </c>
      <c r="AO204" s="1202"/>
      <c r="AP204" s="1218">
        <v>462067833.54000002</v>
      </c>
      <c r="AQ204" s="1083">
        <f t="shared" ref="AQ204:AQ267" si="402">+AP204/AG204</f>
        <v>0.92413566708000006</v>
      </c>
      <c r="AR204" s="958">
        <f t="shared" ref="AR204:AR207" si="403">+AJ204-AO204</f>
        <v>0</v>
      </c>
      <c r="AS204" s="1202" t="s">
        <v>2120</v>
      </c>
      <c r="AT204" s="1084">
        <v>0</v>
      </c>
      <c r="AU204" s="1202"/>
      <c r="AV204" s="1202"/>
      <c r="AW204" s="1202"/>
      <c r="AX204" s="1202"/>
      <c r="AY204" s="999" t="e">
        <f t="shared" si="389"/>
        <v>#DIV/0!</v>
      </c>
      <c r="AZ204" s="1084">
        <v>500000000</v>
      </c>
      <c r="BA204" s="1000">
        <f t="shared" ref="BA204:BA267" si="404">SUM(AH204:AK204)</f>
        <v>500000000</v>
      </c>
      <c r="BB204" s="973">
        <f t="shared" ref="BB204:BB267" si="405">+BA204/AZ204</f>
        <v>1</v>
      </c>
      <c r="BC204" s="1029">
        <f t="shared" ref="BC204:BC267" si="406">SUM(AM204:AP204)+AT204+AV204+AX204</f>
        <v>462067833.54000002</v>
      </c>
      <c r="BD204" s="973">
        <f t="shared" ref="BD204:BD267" si="407">+BC204/AZ204</f>
        <v>0.92413566708000006</v>
      </c>
      <c r="BE204" s="1030"/>
      <c r="BF204" s="1030"/>
      <c r="BG204" s="953" t="s">
        <v>1703</v>
      </c>
      <c r="BH204" s="1380" t="s">
        <v>2272</v>
      </c>
      <c r="BI204" s="908" t="s">
        <v>2103</v>
      </c>
    </row>
    <row r="205" spans="1:61" s="908" customFormat="1" ht="47.4" customHeight="1">
      <c r="A205" s="1184" t="s">
        <v>2520</v>
      </c>
      <c r="B205" s="1192" t="s">
        <v>2521</v>
      </c>
      <c r="C205" s="980" t="s">
        <v>2108</v>
      </c>
      <c r="D205" s="1033">
        <v>0</v>
      </c>
      <c r="E205" s="1033">
        <v>0</v>
      </c>
      <c r="F205" s="1033">
        <v>8</v>
      </c>
      <c r="G205" s="1033">
        <v>15</v>
      </c>
      <c r="H205" s="949">
        <v>0</v>
      </c>
      <c r="I205" s="949">
        <v>0</v>
      </c>
      <c r="J205" s="949">
        <v>0</v>
      </c>
      <c r="K205" s="949">
        <v>15</v>
      </c>
      <c r="L205" s="949"/>
      <c r="M205" s="949"/>
      <c r="N205" s="949">
        <v>8</v>
      </c>
      <c r="O205" s="951">
        <f t="shared" si="396"/>
        <v>0</v>
      </c>
      <c r="P205" s="1021">
        <f t="shared" si="396"/>
        <v>0</v>
      </c>
      <c r="Q205" s="973">
        <f t="shared" si="396"/>
        <v>1</v>
      </c>
      <c r="R205" s="951">
        <f t="shared" si="397"/>
        <v>1</v>
      </c>
      <c r="S205" s="908" t="s">
        <v>2522</v>
      </c>
      <c r="T205" s="974">
        <v>45107</v>
      </c>
      <c r="U205" s="954"/>
      <c r="V205" s="912"/>
      <c r="W205" s="953"/>
      <c r="Y205" s="912">
        <f t="shared" si="398"/>
        <v>23</v>
      </c>
      <c r="Z205" s="956">
        <f t="shared" si="399"/>
        <v>23</v>
      </c>
      <c r="AA205" s="971">
        <f t="shared" si="400"/>
        <v>1</v>
      </c>
      <c r="AB205" s="1201">
        <v>0.3</v>
      </c>
      <c r="AC205" s="1201">
        <v>0</v>
      </c>
      <c r="AD205" s="951">
        <v>0</v>
      </c>
      <c r="AE205" s="951">
        <v>0.4</v>
      </c>
      <c r="AF205" s="1201">
        <v>0.3</v>
      </c>
      <c r="AG205" s="1186">
        <v>500000000</v>
      </c>
      <c r="AH205" s="1202" t="s">
        <v>2120</v>
      </c>
      <c r="AI205" s="1202" t="s">
        <v>2120</v>
      </c>
      <c r="AJ205" s="1202">
        <v>239671155</v>
      </c>
      <c r="AK205" s="1218">
        <v>500000000</v>
      </c>
      <c r="AL205" s="959">
        <f t="shared" si="401"/>
        <v>1</v>
      </c>
      <c r="AM205" s="1202" t="s">
        <v>2120</v>
      </c>
      <c r="AN205" s="1202" t="s">
        <v>2120</v>
      </c>
      <c r="AO205" s="1202">
        <v>18648707</v>
      </c>
      <c r="AP205" s="1218">
        <v>38842587</v>
      </c>
      <c r="AQ205" s="1083">
        <f t="shared" si="402"/>
        <v>7.7685173999999996E-2</v>
      </c>
      <c r="AR205" s="958">
        <f t="shared" si="403"/>
        <v>221022448</v>
      </c>
      <c r="AS205" s="1202" t="s">
        <v>2120</v>
      </c>
      <c r="AT205" s="1084">
        <v>0</v>
      </c>
      <c r="AU205" s="1202"/>
      <c r="AV205" s="1202"/>
      <c r="AW205" s="1202">
        <v>221022448</v>
      </c>
      <c r="AX205" s="1202">
        <v>220635658</v>
      </c>
      <c r="AY205" s="999">
        <f t="shared" si="389"/>
        <v>1.0682192833191315</v>
      </c>
      <c r="AZ205" s="1084">
        <v>740300000</v>
      </c>
      <c r="BA205" s="1000">
        <f t="shared" si="404"/>
        <v>739671155</v>
      </c>
      <c r="BB205" s="973">
        <f t="shared" si="405"/>
        <v>0.99915055382952855</v>
      </c>
      <c r="BC205" s="1029">
        <f t="shared" si="406"/>
        <v>278126952</v>
      </c>
      <c r="BD205" s="973">
        <f t="shared" si="407"/>
        <v>0.37569492367958934</v>
      </c>
      <c r="BE205" s="1030"/>
      <c r="BF205" s="1030"/>
      <c r="BG205" s="953" t="s">
        <v>1703</v>
      </c>
      <c r="BH205" s="1370"/>
      <c r="BI205" s="908" t="s">
        <v>2103</v>
      </c>
    </row>
    <row r="206" spans="1:61" s="908" customFormat="1" ht="47.4" customHeight="1">
      <c r="A206" s="1184" t="s">
        <v>1921</v>
      </c>
      <c r="B206" s="1192" t="s">
        <v>2523</v>
      </c>
      <c r="C206" s="948" t="s">
        <v>1056</v>
      </c>
      <c r="D206" s="1219">
        <v>1</v>
      </c>
      <c r="E206" s="1219">
        <v>1</v>
      </c>
      <c r="F206" s="1219">
        <v>1</v>
      </c>
      <c r="G206" s="1219">
        <v>1</v>
      </c>
      <c r="H206" s="1219">
        <v>1</v>
      </c>
      <c r="I206" s="951">
        <v>1</v>
      </c>
      <c r="J206" s="957">
        <v>1</v>
      </c>
      <c r="K206" s="957">
        <v>1</v>
      </c>
      <c r="L206" s="949"/>
      <c r="M206" s="949"/>
      <c r="N206" s="949"/>
      <c r="O206" s="951">
        <f t="shared" si="396"/>
        <v>1</v>
      </c>
      <c r="P206" s="973">
        <f t="shared" si="396"/>
        <v>1</v>
      </c>
      <c r="Q206" s="973">
        <f t="shared" si="396"/>
        <v>1</v>
      </c>
      <c r="R206" s="951">
        <f t="shared" si="397"/>
        <v>1</v>
      </c>
      <c r="S206" s="908" t="s">
        <v>2524</v>
      </c>
      <c r="T206" s="974">
        <v>45107</v>
      </c>
      <c r="U206" s="985"/>
      <c r="V206" s="985"/>
      <c r="W206" s="952"/>
      <c r="Y206" s="977">
        <f t="shared" si="398"/>
        <v>4</v>
      </c>
      <c r="Z206" s="977">
        <f t="shared" si="399"/>
        <v>4</v>
      </c>
      <c r="AA206" s="971">
        <f t="shared" si="400"/>
        <v>1</v>
      </c>
      <c r="AB206" s="1201">
        <v>0.2</v>
      </c>
      <c r="AC206" s="1201">
        <v>0.5</v>
      </c>
      <c r="AD206" s="951">
        <v>0.5</v>
      </c>
      <c r="AE206" s="951">
        <v>0.3</v>
      </c>
      <c r="AF206" s="1201">
        <v>0.2</v>
      </c>
      <c r="AG206" s="1186">
        <v>100000000</v>
      </c>
      <c r="AH206" s="1186">
        <v>79700000</v>
      </c>
      <c r="AI206" s="1202">
        <v>83453359</v>
      </c>
      <c r="AJ206" s="1202">
        <v>139685550</v>
      </c>
      <c r="AK206" s="1218">
        <v>100000000</v>
      </c>
      <c r="AL206" s="959">
        <f t="shared" si="401"/>
        <v>1</v>
      </c>
      <c r="AM206" s="1186">
        <v>50800000</v>
      </c>
      <c r="AN206" s="1202">
        <v>62161821</v>
      </c>
      <c r="AO206" s="1202">
        <v>126721637</v>
      </c>
      <c r="AP206" s="1218">
        <v>85168517</v>
      </c>
      <c r="AQ206" s="971">
        <f t="shared" si="402"/>
        <v>0.85168516999999999</v>
      </c>
      <c r="AR206" s="958">
        <f t="shared" si="403"/>
        <v>12963913</v>
      </c>
      <c r="AS206" s="1186">
        <v>28900000</v>
      </c>
      <c r="AT206" s="1186">
        <v>28900000</v>
      </c>
      <c r="AU206" s="1186">
        <v>21291538</v>
      </c>
      <c r="AV206" s="1186">
        <v>20565112</v>
      </c>
      <c r="AW206" s="1186">
        <v>12963913</v>
      </c>
      <c r="AX206" s="1186">
        <v>12589282</v>
      </c>
      <c r="AY206" s="999">
        <f t="shared" si="389"/>
        <v>0</v>
      </c>
      <c r="AZ206" s="1084">
        <v>450700000</v>
      </c>
      <c r="BA206" s="1000">
        <f t="shared" si="404"/>
        <v>402838909</v>
      </c>
      <c r="BB206" s="973">
        <f t="shared" si="405"/>
        <v>0.89380720878633235</v>
      </c>
      <c r="BC206" s="1029">
        <f t="shared" si="406"/>
        <v>386906369</v>
      </c>
      <c r="BD206" s="973">
        <f t="shared" si="407"/>
        <v>0.85845655424894607</v>
      </c>
      <c r="BE206" s="1030"/>
      <c r="BF206" s="1030"/>
      <c r="BG206" s="953" t="s">
        <v>279</v>
      </c>
      <c r="BH206" s="1188" t="s">
        <v>2272</v>
      </c>
      <c r="BI206" s="908" t="s">
        <v>2103</v>
      </c>
    </row>
    <row r="207" spans="1:61" s="908" customFormat="1" ht="47.4" customHeight="1">
      <c r="A207" s="1184" t="s">
        <v>2525</v>
      </c>
      <c r="B207" s="1192" t="s">
        <v>2526</v>
      </c>
      <c r="C207" s="980" t="s">
        <v>2108</v>
      </c>
      <c r="D207" s="1033">
        <v>23</v>
      </c>
      <c r="E207" s="1033">
        <v>23</v>
      </c>
      <c r="F207" s="1033">
        <v>23</v>
      </c>
      <c r="G207" s="1033">
        <v>23</v>
      </c>
      <c r="H207" s="1033">
        <v>23</v>
      </c>
      <c r="I207" s="949">
        <v>23</v>
      </c>
      <c r="J207" s="949">
        <v>23</v>
      </c>
      <c r="K207" s="949">
        <v>23</v>
      </c>
      <c r="L207" s="949"/>
      <c r="M207" s="949"/>
      <c r="N207" s="949"/>
      <c r="O207" s="951">
        <f t="shared" si="396"/>
        <v>1</v>
      </c>
      <c r="P207" s="973">
        <f t="shared" si="396"/>
        <v>1</v>
      </c>
      <c r="Q207" s="973">
        <f t="shared" si="396"/>
        <v>1</v>
      </c>
      <c r="R207" s="951">
        <f t="shared" si="397"/>
        <v>1</v>
      </c>
      <c r="S207" s="908" t="s">
        <v>2527</v>
      </c>
      <c r="T207" s="974">
        <v>45107</v>
      </c>
      <c r="U207" s="985" t="s">
        <v>2115</v>
      </c>
      <c r="V207" s="985"/>
      <c r="W207" s="952" t="s">
        <v>2116</v>
      </c>
      <c r="X207" s="976" t="s">
        <v>2313</v>
      </c>
      <c r="Y207" s="912">
        <f t="shared" si="398"/>
        <v>92</v>
      </c>
      <c r="Z207" s="956">
        <f t="shared" si="399"/>
        <v>92</v>
      </c>
      <c r="AA207" s="971">
        <f t="shared" si="400"/>
        <v>1</v>
      </c>
      <c r="AB207" s="1201">
        <v>0.2</v>
      </c>
      <c r="AC207" s="1201">
        <v>0.5</v>
      </c>
      <c r="AD207" s="951">
        <v>0.5</v>
      </c>
      <c r="AE207" s="951">
        <v>0.3</v>
      </c>
      <c r="AF207" s="1201">
        <v>0.2</v>
      </c>
      <c r="AG207" s="1186">
        <v>100000000</v>
      </c>
      <c r="AH207" s="1186">
        <v>97000000</v>
      </c>
      <c r="AI207" s="1202">
        <v>98346960</v>
      </c>
      <c r="AJ207" s="1202">
        <v>108783707</v>
      </c>
      <c r="AK207" s="1218">
        <v>100000000</v>
      </c>
      <c r="AL207" s="959">
        <f t="shared" si="401"/>
        <v>1</v>
      </c>
      <c r="AM207" s="1186">
        <v>46400000</v>
      </c>
      <c r="AN207" s="1202">
        <v>91161821</v>
      </c>
      <c r="AO207" s="1202">
        <v>102852614</v>
      </c>
      <c r="AP207" s="1218">
        <v>64868517</v>
      </c>
      <c r="AQ207" s="971">
        <f t="shared" si="402"/>
        <v>0.64868517000000003</v>
      </c>
      <c r="AR207" s="958">
        <f t="shared" si="403"/>
        <v>5931093</v>
      </c>
      <c r="AS207" s="1186">
        <v>50600000</v>
      </c>
      <c r="AT207" s="1186">
        <v>50600000</v>
      </c>
      <c r="AU207" s="1186">
        <v>7185139</v>
      </c>
      <c r="AV207" s="1186">
        <v>4456038</v>
      </c>
      <c r="AW207" s="1186">
        <v>5931093</v>
      </c>
      <c r="AX207" s="1186">
        <v>2875501</v>
      </c>
      <c r="AY207" s="999">
        <f t="shared" si="389"/>
        <v>37.199831127247542</v>
      </c>
      <c r="AZ207" s="1084">
        <v>479000000</v>
      </c>
      <c r="BA207" s="1000">
        <f t="shared" si="404"/>
        <v>404130667</v>
      </c>
      <c r="BB207" s="973">
        <f t="shared" si="405"/>
        <v>0.84369659081419623</v>
      </c>
      <c r="BC207" s="1029">
        <f t="shared" si="406"/>
        <v>363214491</v>
      </c>
      <c r="BD207" s="973">
        <f t="shared" si="407"/>
        <v>0.75827659916492696</v>
      </c>
      <c r="BE207" s="1030"/>
      <c r="BF207" s="1030"/>
      <c r="BG207" s="953" t="s">
        <v>1703</v>
      </c>
      <c r="BH207" s="1188" t="s">
        <v>2272</v>
      </c>
      <c r="BI207" s="908" t="s">
        <v>2103</v>
      </c>
    </row>
    <row r="208" spans="1:61" s="935" customFormat="1" ht="42.75" hidden="1" customHeight="1">
      <c r="A208" s="925" t="s">
        <v>2528</v>
      </c>
      <c r="B208" s="926"/>
      <c r="C208" s="926"/>
      <c r="D208" s="927"/>
      <c r="E208" s="927"/>
      <c r="F208" s="1108"/>
      <c r="G208" s="1108"/>
      <c r="H208" s="927"/>
      <c r="I208" s="927"/>
      <c r="J208" s="1108"/>
      <c r="K208" s="1108"/>
      <c r="L208" s="927"/>
      <c r="M208" s="927"/>
      <c r="N208" s="927"/>
      <c r="O208" s="928">
        <f>+O209*AC209</f>
        <v>0</v>
      </c>
      <c r="P208" s="928">
        <f t="shared" ref="P208:R209" si="408">+P209*AD209</f>
        <v>0</v>
      </c>
      <c r="Q208" s="928">
        <f t="shared" si="408"/>
        <v>1</v>
      </c>
      <c r="R208" s="928">
        <f t="shared" si="408"/>
        <v>1</v>
      </c>
      <c r="S208" s="1176"/>
      <c r="T208" s="1176"/>
      <c r="U208" s="926"/>
      <c r="V208" s="926"/>
      <c r="W208" s="926"/>
      <c r="X208" s="1176"/>
      <c r="Y208" s="1177"/>
      <c r="Z208" s="929"/>
      <c r="AA208" s="928">
        <f>+(AA209*AB209)</f>
        <v>1</v>
      </c>
      <c r="AB208" s="928">
        <v>0.15</v>
      </c>
      <c r="AC208" s="928">
        <v>0</v>
      </c>
      <c r="AD208" s="928">
        <v>0</v>
      </c>
      <c r="AE208" s="928">
        <v>0.15</v>
      </c>
      <c r="AF208" s="928">
        <v>0.15</v>
      </c>
      <c r="AG208" s="926">
        <f>+AG209</f>
        <v>2337657757</v>
      </c>
      <c r="AH208" s="926">
        <f>+AH209</f>
        <v>0</v>
      </c>
      <c r="AI208" s="926">
        <f>+AI209</f>
        <v>0</v>
      </c>
      <c r="AJ208" s="926">
        <f>+AJ209</f>
        <v>4664621367.4099998</v>
      </c>
      <c r="AK208" s="926">
        <f>+AK209</f>
        <v>2332351406</v>
      </c>
      <c r="AL208" s="931">
        <f t="shared" si="401"/>
        <v>0.99773005651314428</v>
      </c>
      <c r="AM208" s="926">
        <f>+AM209</f>
        <v>0</v>
      </c>
      <c r="AN208" s="926">
        <f>+AN209</f>
        <v>0</v>
      </c>
      <c r="AO208" s="926">
        <f>+AO209</f>
        <v>1238760297.3699999</v>
      </c>
      <c r="AP208" s="926">
        <f>+AP209</f>
        <v>207112817</v>
      </c>
      <c r="AQ208" s="933">
        <f t="shared" si="402"/>
        <v>8.8598434214679611E-2</v>
      </c>
      <c r="AR208" s="926">
        <f t="shared" ref="AR208:AX208" si="409">+AR209</f>
        <v>3425861070.04</v>
      </c>
      <c r="AS208" s="926">
        <f t="shared" si="409"/>
        <v>0</v>
      </c>
      <c r="AT208" s="926">
        <f t="shared" si="409"/>
        <v>0</v>
      </c>
      <c r="AU208" s="926">
        <f t="shared" si="409"/>
        <v>0</v>
      </c>
      <c r="AV208" s="926">
        <f t="shared" si="409"/>
        <v>0</v>
      </c>
      <c r="AW208" s="926">
        <f t="shared" si="409"/>
        <v>3425861070.04</v>
      </c>
      <c r="AX208" s="926">
        <f t="shared" si="409"/>
        <v>3161240922.4899998</v>
      </c>
      <c r="AY208" s="934">
        <f t="shared" si="389"/>
        <v>3.6747789074391768E-3</v>
      </c>
      <c r="AZ208" s="926">
        <f t="shared" ref="AZ208" si="410">+AZ209</f>
        <v>6621231736</v>
      </c>
      <c r="BA208" s="926">
        <f t="shared" si="404"/>
        <v>6996972773.4099998</v>
      </c>
      <c r="BB208" s="928">
        <f t="shared" si="405"/>
        <v>1.0567479061889762</v>
      </c>
      <c r="BC208" s="1010">
        <f t="shared" si="406"/>
        <v>4607114036.8599997</v>
      </c>
      <c r="BD208" s="928">
        <f t="shared" si="407"/>
        <v>0.69580921202483637</v>
      </c>
      <c r="BE208" s="926"/>
      <c r="BF208" s="926" t="s">
        <v>1699</v>
      </c>
      <c r="BG208" s="926"/>
      <c r="BH208" s="926"/>
      <c r="BI208" s="935" t="s">
        <v>2103</v>
      </c>
    </row>
    <row r="209" spans="1:61" s="908" customFormat="1" ht="46.5" hidden="1" customHeight="1">
      <c r="A209" s="936" t="s">
        <v>2529</v>
      </c>
      <c r="B209" s="937"/>
      <c r="C209" s="937"/>
      <c r="D209" s="938"/>
      <c r="E209" s="938"/>
      <c r="F209" s="938"/>
      <c r="G209" s="938"/>
      <c r="H209" s="938"/>
      <c r="I209" s="938"/>
      <c r="J209" s="938"/>
      <c r="K209" s="938"/>
      <c r="L209" s="938"/>
      <c r="M209" s="938"/>
      <c r="N209" s="938"/>
      <c r="O209" s="939">
        <f>+O210*AC210</f>
        <v>0</v>
      </c>
      <c r="P209" s="939">
        <f t="shared" si="408"/>
        <v>0</v>
      </c>
      <c r="Q209" s="939">
        <f t="shared" si="408"/>
        <v>1</v>
      </c>
      <c r="R209" s="939">
        <f t="shared" si="408"/>
        <v>1</v>
      </c>
      <c r="S209" s="1178"/>
      <c r="T209" s="1178"/>
      <c r="U209" s="937"/>
      <c r="V209" s="937"/>
      <c r="W209" s="937"/>
      <c r="X209" s="1178"/>
      <c r="Y209" s="1102"/>
      <c r="Z209" s="940"/>
      <c r="AA209" s="939">
        <f>+SUMPRODUCT(AA210:AA210,AB210:AB210)</f>
        <v>1</v>
      </c>
      <c r="AB209" s="939">
        <v>1</v>
      </c>
      <c r="AC209" s="939">
        <v>0</v>
      </c>
      <c r="AD209" s="939">
        <v>0</v>
      </c>
      <c r="AE209" s="939">
        <v>1</v>
      </c>
      <c r="AF209" s="939">
        <v>1</v>
      </c>
      <c r="AG209" s="937">
        <f>SUM(AG210)</f>
        <v>2337657757</v>
      </c>
      <c r="AH209" s="937">
        <f>SUM(AH210)</f>
        <v>0</v>
      </c>
      <c r="AI209" s="937">
        <f>SUM(AI210)</f>
        <v>0</v>
      </c>
      <c r="AJ209" s="937">
        <f>SUM(AJ210)</f>
        <v>4664621367.4099998</v>
      </c>
      <c r="AK209" s="937">
        <f>SUM(AK210)</f>
        <v>2332351406</v>
      </c>
      <c r="AL209" s="943">
        <f t="shared" si="401"/>
        <v>0.99773005651314428</v>
      </c>
      <c r="AM209" s="937">
        <f>SUM(AM210)</f>
        <v>0</v>
      </c>
      <c r="AN209" s="937">
        <f>SUM(AN210)</f>
        <v>0</v>
      </c>
      <c r="AO209" s="937">
        <f>SUM(AO210)</f>
        <v>1238760297.3699999</v>
      </c>
      <c r="AP209" s="937">
        <f>SUM(AP210)</f>
        <v>207112817</v>
      </c>
      <c r="AQ209" s="944">
        <f t="shared" si="402"/>
        <v>8.8598434214679611E-2</v>
      </c>
      <c r="AR209" s="945">
        <f t="shared" ref="AR209:AX209" si="411">SUM(AR210)</f>
        <v>3425861070.04</v>
      </c>
      <c r="AS209" s="937">
        <f t="shared" si="411"/>
        <v>0</v>
      </c>
      <c r="AT209" s="937">
        <f t="shared" si="411"/>
        <v>0</v>
      </c>
      <c r="AU209" s="937">
        <f t="shared" si="411"/>
        <v>0</v>
      </c>
      <c r="AV209" s="937">
        <f t="shared" si="411"/>
        <v>0</v>
      </c>
      <c r="AW209" s="937">
        <f t="shared" si="411"/>
        <v>3425861070.04</v>
      </c>
      <c r="AX209" s="937">
        <f t="shared" si="411"/>
        <v>3161240922.4899998</v>
      </c>
      <c r="AY209" s="946">
        <f t="shared" si="389"/>
        <v>8.3935131670894814E-4</v>
      </c>
      <c r="AZ209" s="945">
        <f t="shared" ref="AZ209" si="412">SUM(AZ210)</f>
        <v>6621231736</v>
      </c>
      <c r="BA209" s="945">
        <f t="shared" si="404"/>
        <v>6996972773.4099998</v>
      </c>
      <c r="BB209" s="939">
        <f t="shared" si="405"/>
        <v>1.0567479061889762</v>
      </c>
      <c r="BC209" s="1005">
        <f t="shared" si="406"/>
        <v>4607114036.8599997</v>
      </c>
      <c r="BD209" s="939">
        <f t="shared" si="407"/>
        <v>0.69580921202483637</v>
      </c>
      <c r="BE209" s="945"/>
      <c r="BF209" s="945"/>
      <c r="BG209" s="945"/>
      <c r="BH209" s="945"/>
      <c r="BI209" s="908" t="s">
        <v>2103</v>
      </c>
    </row>
    <row r="210" spans="1:61" s="908" customFormat="1" ht="47.4" customHeight="1">
      <c r="A210" s="1179" t="s">
        <v>2530</v>
      </c>
      <c r="B210" s="1183" t="s">
        <v>2531</v>
      </c>
      <c r="C210" s="980" t="s">
        <v>2108</v>
      </c>
      <c r="D210" s="1046">
        <v>0</v>
      </c>
      <c r="E210" s="1046">
        <v>0</v>
      </c>
      <c r="F210" s="1046">
        <v>1</v>
      </c>
      <c r="G210" s="1046">
        <v>1</v>
      </c>
      <c r="H210" s="949">
        <v>0</v>
      </c>
      <c r="I210" s="949">
        <v>0</v>
      </c>
      <c r="J210" s="949">
        <v>6</v>
      </c>
      <c r="K210" s="949">
        <v>1</v>
      </c>
      <c r="L210" s="949"/>
      <c r="M210" s="949"/>
      <c r="N210" s="949"/>
      <c r="O210" s="951">
        <f>+IFERROR(IF((H210+L210)/D210&gt;=100%,100%,(H210+L210)/D210),0)</f>
        <v>0</v>
      </c>
      <c r="P210" s="1021">
        <f>+IFERROR(IF((I210+M210)/E210&gt;=100%,100%,(I210+M210)/E210),0)</f>
        <v>0</v>
      </c>
      <c r="Q210" s="973">
        <f>+IFERROR(IF((J210+N210)/F210&gt;=100%,100%,(J210+N210)/F210),0)</f>
        <v>1</v>
      </c>
      <c r="R210" s="951">
        <f>+IFERROR(IF(K210/G210&gt;=100%,100%,K210/G210),0)</f>
        <v>1</v>
      </c>
      <c r="S210" s="908" t="s">
        <v>2532</v>
      </c>
      <c r="T210" s="974">
        <v>45107</v>
      </c>
      <c r="U210" s="985" t="s">
        <v>2115</v>
      </c>
      <c r="V210" s="985"/>
      <c r="W210" s="952" t="s">
        <v>2116</v>
      </c>
      <c r="X210" s="976">
        <v>251</v>
      </c>
      <c r="Y210" s="912">
        <f t="shared" ref="Y210" si="413">SUM(D210:G210)</f>
        <v>2</v>
      </c>
      <c r="Z210" s="956">
        <f t="shared" ref="Z210" si="414">SUM(H210:N210)</f>
        <v>7</v>
      </c>
      <c r="AA210" s="971">
        <f t="shared" ref="AA210" si="415">IF(Z210/Y210&gt;=100%,100%,Z210/Y210)</f>
        <v>1</v>
      </c>
      <c r="AB210" s="1099">
        <v>1</v>
      </c>
      <c r="AC210" s="1099">
        <v>0</v>
      </c>
      <c r="AD210" s="951">
        <v>0</v>
      </c>
      <c r="AE210" s="951">
        <v>1</v>
      </c>
      <c r="AF210" s="951">
        <v>1</v>
      </c>
      <c r="AG210" s="1084">
        <v>2337657757</v>
      </c>
      <c r="AH210" s="1084">
        <v>0</v>
      </c>
      <c r="AI210" s="1084">
        <v>0</v>
      </c>
      <c r="AJ210" s="1084">
        <v>4664621367.4099998</v>
      </c>
      <c r="AK210" s="1084">
        <v>2332351406</v>
      </c>
      <c r="AL210" s="959">
        <f t="shared" si="401"/>
        <v>0.99773005651314428</v>
      </c>
      <c r="AM210" s="1084">
        <v>0</v>
      </c>
      <c r="AN210" s="1084">
        <v>0</v>
      </c>
      <c r="AO210" s="1084">
        <v>1238760297.3699999</v>
      </c>
      <c r="AP210" s="1084">
        <v>207112817</v>
      </c>
      <c r="AQ210" s="1083">
        <f t="shared" si="402"/>
        <v>8.8598434214679611E-2</v>
      </c>
      <c r="AR210" s="958">
        <f>+AJ210-AO210</f>
        <v>3425861070.04</v>
      </c>
      <c r="AS210" s="1084">
        <v>0</v>
      </c>
      <c r="AT210" s="1084">
        <v>0</v>
      </c>
      <c r="AU210" s="1084"/>
      <c r="AV210" s="1084"/>
      <c r="AW210" s="1084">
        <v>3425861070.04</v>
      </c>
      <c r="AX210" s="1084">
        <v>3161240922.4899998</v>
      </c>
      <c r="AY210" s="999">
        <f t="shared" si="389"/>
        <v>0.92275806223895984</v>
      </c>
      <c r="AZ210" s="1084">
        <v>6621231736</v>
      </c>
      <c r="BA210" s="1000">
        <f t="shared" si="404"/>
        <v>6996972773.4099998</v>
      </c>
      <c r="BB210" s="973">
        <f t="shared" si="405"/>
        <v>1.0567479061889762</v>
      </c>
      <c r="BC210" s="1029">
        <f t="shared" si="406"/>
        <v>4607114036.8599997</v>
      </c>
      <c r="BD210" s="973">
        <f t="shared" si="407"/>
        <v>0.69580921202483637</v>
      </c>
      <c r="BE210" s="1030"/>
      <c r="BF210" s="969"/>
      <c r="BG210" s="953" t="s">
        <v>1703</v>
      </c>
      <c r="BH210" s="1195" t="s">
        <v>2272</v>
      </c>
      <c r="BI210" s="908" t="s">
        <v>2103</v>
      </c>
    </row>
    <row r="211" spans="1:61" s="908" customFormat="1" ht="47.4" customHeight="1">
      <c r="A211" s="914" t="s">
        <v>2533</v>
      </c>
      <c r="B211" s="1123"/>
      <c r="C211" s="1123"/>
      <c r="D211" s="1124"/>
      <c r="E211" s="1124"/>
      <c r="F211" s="1124"/>
      <c r="G211" s="1124"/>
      <c r="H211" s="1124"/>
      <c r="I211" s="1124"/>
      <c r="J211" s="1124"/>
      <c r="K211" s="1124"/>
      <c r="L211" s="1124"/>
      <c r="M211" s="1124"/>
      <c r="N211" s="1124"/>
      <c r="O211" s="917">
        <f>+(O212*AC212)+(O218*AC218)+(O229*AC229)+(O239*AC239)+(O245*AC245)+(O250*AC250)+(O260*AC260)+(O270*AC270)+(O278*AC278)+(O286*AC286)+(O293*AC293)</f>
        <v>0.96224999999999994</v>
      </c>
      <c r="P211" s="917">
        <f>+(P212*AD212)+(P218*AD218)+(P229*AD229)+(P239*AD239)+(P245*AD245)+(P250*AD250)+(P260*AD260)+(P270*AD270)+(P278*AD278)+(P286*AD286)+(P293*AD293)</f>
        <v>0.97639999999999982</v>
      </c>
      <c r="Q211" s="917">
        <f>+(Q212*AE212)+(Q218*AE218)+(Q229*AE229)+(Q239*AE239)+(Q245*AE245)+(Q250*AE250)+(Q260*AE260)+(Q270*AE270)+(Q278*AE278)+(Q286*AE286)+(Q293*AE293)</f>
        <v>0.95770418181818184</v>
      </c>
      <c r="R211" s="923">
        <f>+(R212*AF212)+(R218*AF218)+(R229*AF229)+(R239*AF239)+(R245*AF245)+(R250*AF250)+(R260*AF260)+(R270*AF270)+(R278*AF278)+(R286*AF286)+(R293*AF293)</f>
        <v>0.99282879999999996</v>
      </c>
      <c r="S211" s="1173"/>
      <c r="T211" s="1173"/>
      <c r="U211" s="918"/>
      <c r="V211" s="918"/>
      <c r="W211" s="918"/>
      <c r="X211" s="1173"/>
      <c r="Y211" s="1174"/>
      <c r="Z211" s="1175"/>
      <c r="AA211" s="917">
        <f>+(AA212*AB212)+(AA218*AB218)+(AA229*AB229)+(AA239*AB239)+(AA245*AB245)+(AA250*AB250)+(AA260*AB260)+(AA270*AB270)+(AA278*AB278)+(AA286*AB286)+(AA293*AB293)</f>
        <v>0.95734626767676767</v>
      </c>
      <c r="AB211" s="920">
        <v>0.15</v>
      </c>
      <c r="AC211" s="920">
        <v>0.15</v>
      </c>
      <c r="AD211" s="920">
        <v>0.15</v>
      </c>
      <c r="AE211" s="920">
        <v>0.15</v>
      </c>
      <c r="AF211" s="920">
        <v>0.15</v>
      </c>
      <c r="AG211" s="921">
        <f>+AG212+AG218+AG229+AG239+AG245+AG250+AG260+AG270+AG278+AG286+AG293</f>
        <v>12184476422</v>
      </c>
      <c r="AH211" s="921">
        <f>+AH212+AH218+AH229+AH239+AH245+AH250+AH260+AH270+AH278+AH286</f>
        <v>3756011938.75</v>
      </c>
      <c r="AI211" s="921">
        <f>+AI212+AI218+AI229+AI239+AI245+AI250+AI260+AI270+AI278+AI286</f>
        <v>5306096496.5799999</v>
      </c>
      <c r="AJ211" s="921">
        <f>+AJ212+AJ218+AJ229+AJ239+AJ245+AJ250+AJ260+AJ270+AJ278+AJ286</f>
        <v>6174033209.7399998</v>
      </c>
      <c r="AK211" s="921">
        <f>+AK212+AK218+AK229+AK239+AK245+AK250+AK260+AK270+AK278+AK286+AK293</f>
        <v>11804439954.690001</v>
      </c>
      <c r="AL211" s="922">
        <f t="shared" si="401"/>
        <v>0.9688097826982689</v>
      </c>
      <c r="AM211" s="921">
        <f>+AM212+AM218+AM229+AM239+AM245+AM250+AM260+AM270+AM278+AM286</f>
        <v>1884731885</v>
      </c>
      <c r="AN211" s="921">
        <f>+AN212+AN218+AN229+AN239+AN245+AN250+AN260+AN270+AN278+AN286</f>
        <v>4098867829.7200003</v>
      </c>
      <c r="AO211" s="921">
        <f>+AO212+AO218+AO229+AO239+AO245+AO250+AO260+AO270+AO278+AO286</f>
        <v>5741471631.8499994</v>
      </c>
      <c r="AP211" s="921">
        <f>+AP212+AP218+AP229+AP239+AP245+AP250+AP260+AP270+AP278+AP286+AP293</f>
        <v>10047420905.060001</v>
      </c>
      <c r="AQ211" s="923">
        <f t="shared" si="402"/>
        <v>0.82460834237559999</v>
      </c>
      <c r="AR211" s="915">
        <f>+AR212+AR218+AR229+AR239+AR245+AR250+AR260+AR270+AR278+AR286</f>
        <v>432561577.88999999</v>
      </c>
      <c r="AS211" s="921">
        <f>+AS212+AS218+AS229+AS239+AS245+AS250+AS260+AS270+AS278+AS286+AS293</f>
        <v>1973271694.75</v>
      </c>
      <c r="AT211" s="921">
        <f>+AT212+AT218+AT229+AT239+AT245+AT250+AT260+AT270+AT278+AT286+AT294</f>
        <v>1791889983.02</v>
      </c>
      <c r="AU211" s="921">
        <f>+AU212+AU218+AU229+AU239+AU245+AU250+AU260+AU270+AU278+AU286+AU293</f>
        <v>1221478666.8599999</v>
      </c>
      <c r="AV211" s="921">
        <f>+AV212+AV218+AV229+AV239+AV245+AV250+AV260+AV270+AV278+AV286</f>
        <v>1125926103.2</v>
      </c>
      <c r="AW211" s="921">
        <f>+AW212+AW218+AW229+AW239+AW245+AW250+AW260+AW270+AW278+AW286+AW293</f>
        <v>3658936666.8799996</v>
      </c>
      <c r="AX211" s="921">
        <f>+AX212+AX218+AX229+AX239+AX245+AX250+AX260+AX270+AX278+AX286+AX293</f>
        <v>3511260807.6500001</v>
      </c>
      <c r="AY211" s="1125">
        <f t="shared" si="389"/>
        <v>0.86397803796522432</v>
      </c>
      <c r="AZ211" s="915">
        <f>+AZ212+AZ218+AZ229+AZ239+AZ245+AZ250+AZ260+AZ270+AZ278+AZ286</f>
        <v>25187051276</v>
      </c>
      <c r="BA211" s="915">
        <f t="shared" si="404"/>
        <v>27040581599.760002</v>
      </c>
      <c r="BB211" s="920">
        <f t="shared" si="405"/>
        <v>1.0735906042930152</v>
      </c>
      <c r="BC211" s="1059">
        <f t="shared" si="406"/>
        <v>28201569145.500004</v>
      </c>
      <c r="BD211" s="920">
        <f t="shared" si="407"/>
        <v>1.1196852238265957</v>
      </c>
      <c r="BE211" s="915"/>
      <c r="BF211" s="915"/>
      <c r="BG211" s="915"/>
      <c r="BH211" s="915"/>
      <c r="BI211" s="908" t="s">
        <v>2103</v>
      </c>
    </row>
    <row r="212" spans="1:61" s="908" customFormat="1" ht="47.4" customHeight="1">
      <c r="A212" s="925" t="s">
        <v>2534</v>
      </c>
      <c r="B212" s="926"/>
      <c r="C212" s="926"/>
      <c r="D212" s="927"/>
      <c r="E212" s="927"/>
      <c r="F212" s="927"/>
      <c r="G212" s="927"/>
      <c r="H212" s="927"/>
      <c r="I212" s="927"/>
      <c r="J212" s="927"/>
      <c r="K212" s="927"/>
      <c r="L212" s="927"/>
      <c r="M212" s="927"/>
      <c r="N212" s="927"/>
      <c r="O212" s="928">
        <f>+(O213*AC213)</f>
        <v>1</v>
      </c>
      <c r="P212" s="928">
        <f t="shared" ref="P212:R212" si="416">+(P213*AD213)</f>
        <v>1</v>
      </c>
      <c r="Q212" s="928">
        <f t="shared" si="416"/>
        <v>1</v>
      </c>
      <c r="R212" s="928">
        <f t="shared" si="416"/>
        <v>1</v>
      </c>
      <c r="S212" s="1176"/>
      <c r="T212" s="1176"/>
      <c r="U212" s="926"/>
      <c r="V212" s="926"/>
      <c r="W212" s="926"/>
      <c r="X212" s="1176"/>
      <c r="Y212" s="1177"/>
      <c r="Z212" s="929"/>
      <c r="AA212" s="928">
        <f>+(AA213*AB213)</f>
        <v>1</v>
      </c>
      <c r="AB212" s="928">
        <v>0.1</v>
      </c>
      <c r="AC212" s="928">
        <v>0.1</v>
      </c>
      <c r="AD212" s="928">
        <v>0.1</v>
      </c>
      <c r="AE212" s="928">
        <v>0.1</v>
      </c>
      <c r="AF212" s="928">
        <v>0.1</v>
      </c>
      <c r="AG212" s="926">
        <f>+AG213</f>
        <v>535000000</v>
      </c>
      <c r="AH212" s="926">
        <f>+AH213</f>
        <v>341342657</v>
      </c>
      <c r="AI212" s="926">
        <f>+AI213</f>
        <v>576619318.39999998</v>
      </c>
      <c r="AJ212" s="926">
        <f>+AJ213</f>
        <v>544014835</v>
      </c>
      <c r="AK212" s="926">
        <f>+AK213</f>
        <v>534971991</v>
      </c>
      <c r="AL212" s="931">
        <f t="shared" si="401"/>
        <v>0.99994764672897196</v>
      </c>
      <c r="AM212" s="926">
        <f>+AM213</f>
        <v>313342657</v>
      </c>
      <c r="AN212" s="926">
        <f>+AN213</f>
        <v>500799213</v>
      </c>
      <c r="AO212" s="926">
        <f>+AO213</f>
        <v>477240510</v>
      </c>
      <c r="AP212" s="926">
        <f>+AP213</f>
        <v>390979713</v>
      </c>
      <c r="AQ212" s="933">
        <f t="shared" si="402"/>
        <v>0.73080320186915892</v>
      </c>
      <c r="AR212" s="926">
        <f t="shared" ref="AR212:AX212" si="417">+AR213</f>
        <v>66774325</v>
      </c>
      <c r="AS212" s="926">
        <f t="shared" si="417"/>
        <v>28000000</v>
      </c>
      <c r="AT212" s="926">
        <f t="shared" si="417"/>
        <v>19001563</v>
      </c>
      <c r="AU212" s="926">
        <f t="shared" si="417"/>
        <v>75820105.400000006</v>
      </c>
      <c r="AV212" s="926">
        <f t="shared" si="417"/>
        <v>60377211.399999999</v>
      </c>
      <c r="AW212" s="926">
        <f t="shared" si="417"/>
        <v>66774325</v>
      </c>
      <c r="AX212" s="926">
        <f t="shared" si="417"/>
        <v>0</v>
      </c>
      <c r="AY212" s="1111">
        <f t="shared" si="389"/>
        <v>47.342162163226654</v>
      </c>
      <c r="AZ212" s="926">
        <f>+AZ213</f>
        <v>2234277512</v>
      </c>
      <c r="BA212" s="926">
        <f t="shared" si="404"/>
        <v>1996948801.4000001</v>
      </c>
      <c r="BB212" s="928">
        <f t="shared" si="405"/>
        <v>0.89377832013913239</v>
      </c>
      <c r="BC212" s="1010">
        <f t="shared" si="406"/>
        <v>1761740867.4000001</v>
      </c>
      <c r="BD212" s="928">
        <f t="shared" si="407"/>
        <v>0.7885058404508527</v>
      </c>
      <c r="BE212" s="926"/>
      <c r="BF212" s="926" t="s">
        <v>1702</v>
      </c>
      <c r="BG212" s="926"/>
      <c r="BH212" s="926"/>
    </row>
    <row r="213" spans="1:61" s="908" customFormat="1" ht="47.4" customHeight="1">
      <c r="A213" s="936" t="s">
        <v>2535</v>
      </c>
      <c r="B213" s="937"/>
      <c r="C213" s="937"/>
      <c r="D213" s="938"/>
      <c r="E213" s="938"/>
      <c r="F213" s="938"/>
      <c r="G213" s="938"/>
      <c r="H213" s="938"/>
      <c r="I213" s="938"/>
      <c r="J213" s="938"/>
      <c r="K213" s="938"/>
      <c r="L213" s="938"/>
      <c r="M213" s="938"/>
      <c r="N213" s="938"/>
      <c r="O213" s="939">
        <f>+SUMPRODUCT(O214:O217,AC214:AC217)</f>
        <v>1</v>
      </c>
      <c r="P213" s="939">
        <f t="shared" ref="P213:R213" si="418">+SUMPRODUCT(P214:P217,AD214:AD217)</f>
        <v>1</v>
      </c>
      <c r="Q213" s="939">
        <f t="shared" si="418"/>
        <v>1</v>
      </c>
      <c r="R213" s="939">
        <f t="shared" si="418"/>
        <v>1</v>
      </c>
      <c r="S213" s="1178"/>
      <c r="T213" s="1178"/>
      <c r="U213" s="937"/>
      <c r="V213" s="937"/>
      <c r="W213" s="937"/>
      <c r="X213" s="1178"/>
      <c r="Y213" s="1102"/>
      <c r="Z213" s="940"/>
      <c r="AA213" s="939">
        <f>+SUMPRODUCT(AA214:AA217,AB214:AB217)</f>
        <v>1</v>
      </c>
      <c r="AB213" s="939">
        <v>1</v>
      </c>
      <c r="AC213" s="939">
        <v>1</v>
      </c>
      <c r="AD213" s="939">
        <v>1</v>
      </c>
      <c r="AE213" s="939">
        <v>1</v>
      </c>
      <c r="AF213" s="939">
        <v>1</v>
      </c>
      <c r="AG213" s="937">
        <f>SUM(AG214:AG217)</f>
        <v>535000000</v>
      </c>
      <c r="AH213" s="937">
        <f>SUM(AH214:AH217)</f>
        <v>341342657</v>
      </c>
      <c r="AI213" s="937">
        <f>SUM(AI214:AI217)</f>
        <v>576619318.39999998</v>
      </c>
      <c r="AJ213" s="937">
        <f>SUM(AJ214:AJ217)</f>
        <v>544014835</v>
      </c>
      <c r="AK213" s="937">
        <f>SUM(AK214:AK217)</f>
        <v>534971991</v>
      </c>
      <c r="AL213" s="943">
        <f t="shared" si="401"/>
        <v>0.99994764672897196</v>
      </c>
      <c r="AM213" s="937">
        <f>SUM(AM214:AM217)</f>
        <v>313342657</v>
      </c>
      <c r="AN213" s="937">
        <f>SUM(AN214:AN217)</f>
        <v>500799213</v>
      </c>
      <c r="AO213" s="937">
        <f>SUM(AO214:AO217)</f>
        <v>477240510</v>
      </c>
      <c r="AP213" s="937">
        <f>SUM(AP214:AP217)</f>
        <v>390979713</v>
      </c>
      <c r="AQ213" s="944">
        <f t="shared" si="402"/>
        <v>0.73080320186915892</v>
      </c>
      <c r="AR213" s="945">
        <f t="shared" ref="AR213:AX213" si="419">SUM(AR214:AR217)</f>
        <v>66774325</v>
      </c>
      <c r="AS213" s="937">
        <f t="shared" si="419"/>
        <v>28000000</v>
      </c>
      <c r="AT213" s="937">
        <f t="shared" si="419"/>
        <v>19001563</v>
      </c>
      <c r="AU213" s="937">
        <f t="shared" si="419"/>
        <v>75820105.400000006</v>
      </c>
      <c r="AV213" s="937">
        <f t="shared" si="419"/>
        <v>60377211.399999999</v>
      </c>
      <c r="AW213" s="937">
        <f t="shared" si="419"/>
        <v>66774325</v>
      </c>
      <c r="AX213" s="937">
        <f t="shared" si="419"/>
        <v>0</v>
      </c>
      <c r="AY213" s="946">
        <f t="shared" si="389"/>
        <v>52.583995534960479</v>
      </c>
      <c r="AZ213" s="937">
        <f>SUM(AZ214:AZ217)</f>
        <v>2234277512</v>
      </c>
      <c r="BA213" s="937">
        <f t="shared" si="404"/>
        <v>1996948801.4000001</v>
      </c>
      <c r="BB213" s="939">
        <f t="shared" si="405"/>
        <v>0.89377832013913239</v>
      </c>
      <c r="BC213" s="1005">
        <f t="shared" si="406"/>
        <v>1761740867.4000001</v>
      </c>
      <c r="BD213" s="939">
        <f t="shared" si="407"/>
        <v>0.7885058404508527</v>
      </c>
      <c r="BE213" s="945"/>
      <c r="BF213" s="945"/>
      <c r="BG213" s="945"/>
      <c r="BH213" s="945"/>
    </row>
    <row r="214" spans="1:61" s="908" customFormat="1" ht="63.75" hidden="1" customHeight="1">
      <c r="A214" s="1220" t="s">
        <v>2536</v>
      </c>
      <c r="B214" s="980" t="s">
        <v>2537</v>
      </c>
      <c r="C214" s="980" t="s">
        <v>2108</v>
      </c>
      <c r="D214" s="1221">
        <v>0</v>
      </c>
      <c r="E214" s="1221">
        <v>1</v>
      </c>
      <c r="F214" s="1221">
        <v>0</v>
      </c>
      <c r="G214" s="1221">
        <v>0</v>
      </c>
      <c r="H214" s="1221">
        <v>0</v>
      </c>
      <c r="I214" s="949">
        <v>1</v>
      </c>
      <c r="J214" s="949">
        <v>0</v>
      </c>
      <c r="K214" s="949">
        <v>0</v>
      </c>
      <c r="L214" s="949"/>
      <c r="M214" s="949"/>
      <c r="N214" s="949"/>
      <c r="O214" s="951">
        <f t="shared" ref="O214:Q217" si="420">+IFERROR(IF((H214+L214)/D214&gt;=100%,100%,(H214+L214)/D214),0)</f>
        <v>0</v>
      </c>
      <c r="P214" s="973">
        <f t="shared" si="420"/>
        <v>1</v>
      </c>
      <c r="Q214" s="951">
        <f t="shared" si="420"/>
        <v>0</v>
      </c>
      <c r="R214" s="951">
        <f t="shared" ref="R214:R217" si="421">+IFERROR(IF(K214/G214&gt;=100%,100%,K214/G214),0)</f>
        <v>0</v>
      </c>
      <c r="U214" s="954"/>
      <c r="V214" s="912"/>
      <c r="W214" s="953"/>
      <c r="Y214" s="912">
        <f t="shared" ref="Y214:Y217" si="422">SUM(D214:G214)</f>
        <v>1</v>
      </c>
      <c r="Z214" s="956">
        <f t="shared" ref="Z214:Z217" si="423">SUM(H214:N214)</f>
        <v>1</v>
      </c>
      <c r="AA214" s="971">
        <f t="shared" ref="AA214:AA217" si="424">IF(Z214/Y214&gt;=100%,100%,Z214/Y214)</f>
        <v>1</v>
      </c>
      <c r="AB214" s="1222">
        <v>0.1</v>
      </c>
      <c r="AC214" s="1222">
        <v>0</v>
      </c>
      <c r="AD214" s="1222">
        <v>0.1</v>
      </c>
      <c r="AE214" s="1222">
        <v>0</v>
      </c>
      <c r="AF214" s="951">
        <v>0</v>
      </c>
      <c r="AG214" s="1223">
        <v>0</v>
      </c>
      <c r="AH214" s="1223">
        <v>0</v>
      </c>
      <c r="AI214" s="1223">
        <v>78856872</v>
      </c>
      <c r="AJ214" s="1223">
        <v>0</v>
      </c>
      <c r="AK214" s="1223"/>
      <c r="AL214" s="959" t="e">
        <f t="shared" si="401"/>
        <v>#DIV/0!</v>
      </c>
      <c r="AM214" s="1223">
        <v>0</v>
      </c>
      <c r="AN214" s="1223">
        <v>75227275</v>
      </c>
      <c r="AO214" s="1223">
        <v>0</v>
      </c>
      <c r="AP214" s="1223"/>
      <c r="AQ214" s="971" t="e">
        <f t="shared" si="402"/>
        <v>#DIV/0!</v>
      </c>
      <c r="AR214" s="958">
        <f t="shared" ref="AR214:AR217" si="425">+AJ214-AO214</f>
        <v>0</v>
      </c>
      <c r="AS214" s="1223">
        <v>0</v>
      </c>
      <c r="AT214" s="1223">
        <v>0</v>
      </c>
      <c r="AU214" s="1223">
        <v>3629597</v>
      </c>
      <c r="AV214" s="1223">
        <v>3073553</v>
      </c>
      <c r="AW214" s="1223"/>
      <c r="AX214" s="1223"/>
      <c r="AY214" s="999" t="e">
        <f t="shared" si="389"/>
        <v>#DIV/0!</v>
      </c>
      <c r="AZ214" s="1084">
        <v>80000000</v>
      </c>
      <c r="BA214" s="1000">
        <f t="shared" si="404"/>
        <v>78856872</v>
      </c>
      <c r="BB214" s="971">
        <f t="shared" si="405"/>
        <v>0.98571089999999995</v>
      </c>
      <c r="BC214" s="1001">
        <f t="shared" si="406"/>
        <v>78300828</v>
      </c>
      <c r="BD214" s="951">
        <f t="shared" si="407"/>
        <v>0.97876034999999995</v>
      </c>
      <c r="BE214" s="969"/>
      <c r="BF214" s="969"/>
      <c r="BG214" s="953" t="s">
        <v>1703</v>
      </c>
      <c r="BH214" s="1224" t="s">
        <v>2150</v>
      </c>
    </row>
    <row r="215" spans="1:61" s="908" customFormat="1" ht="47.4" customHeight="1">
      <c r="A215" s="1220" t="s">
        <v>2538</v>
      </c>
      <c r="B215" s="980" t="s">
        <v>2539</v>
      </c>
      <c r="C215" s="980" t="s">
        <v>2108</v>
      </c>
      <c r="D215" s="1033">
        <v>3</v>
      </c>
      <c r="E215" s="1033">
        <v>4</v>
      </c>
      <c r="F215" s="1033">
        <v>4</v>
      </c>
      <c r="G215" s="1033">
        <v>4</v>
      </c>
      <c r="H215" s="1033">
        <v>3</v>
      </c>
      <c r="I215" s="949">
        <v>4</v>
      </c>
      <c r="J215" s="949">
        <v>4</v>
      </c>
      <c r="K215" s="949">
        <v>5</v>
      </c>
      <c r="L215" s="949"/>
      <c r="M215" s="949"/>
      <c r="N215" s="949"/>
      <c r="O215" s="951">
        <f t="shared" si="420"/>
        <v>1</v>
      </c>
      <c r="P215" s="973">
        <f t="shared" si="420"/>
        <v>1</v>
      </c>
      <c r="Q215" s="973">
        <f t="shared" si="420"/>
        <v>1</v>
      </c>
      <c r="R215" s="951">
        <f t="shared" si="421"/>
        <v>1</v>
      </c>
      <c r="S215" s="908" t="s">
        <v>2540</v>
      </c>
      <c r="T215" s="974">
        <v>45107</v>
      </c>
      <c r="U215" s="912"/>
      <c r="V215" s="1225"/>
      <c r="W215" s="953"/>
      <c r="Y215" s="912">
        <f t="shared" si="422"/>
        <v>15</v>
      </c>
      <c r="Z215" s="956">
        <f t="shared" si="423"/>
        <v>16</v>
      </c>
      <c r="AA215" s="971">
        <f t="shared" si="424"/>
        <v>1</v>
      </c>
      <c r="AB215" s="1222">
        <v>0.1</v>
      </c>
      <c r="AC215" s="1222">
        <v>0.12</v>
      </c>
      <c r="AD215" s="1222">
        <v>0.1</v>
      </c>
      <c r="AE215" s="1226">
        <v>0.13</v>
      </c>
      <c r="AF215" s="1226">
        <v>0.13</v>
      </c>
      <c r="AG215" s="1223">
        <v>10087760</v>
      </c>
      <c r="AH215" s="1223">
        <v>2112242</v>
      </c>
      <c r="AI215" s="1223">
        <v>7331359</v>
      </c>
      <c r="AJ215" s="1223">
        <v>11373717</v>
      </c>
      <c r="AK215" s="1223">
        <v>10087760</v>
      </c>
      <c r="AL215" s="959">
        <f t="shared" si="401"/>
        <v>1</v>
      </c>
      <c r="AM215" s="1223">
        <v>2112242</v>
      </c>
      <c r="AN215" s="1223">
        <v>5555028</v>
      </c>
      <c r="AO215" s="1223">
        <v>11351087</v>
      </c>
      <c r="AP215" s="1223">
        <v>9418316</v>
      </c>
      <c r="AQ215" s="1026">
        <f t="shared" si="402"/>
        <v>0.93363799297366312</v>
      </c>
      <c r="AR215" s="958">
        <f t="shared" si="425"/>
        <v>22630</v>
      </c>
      <c r="AS215" s="1223">
        <v>0</v>
      </c>
      <c r="AT215" s="1223">
        <v>0</v>
      </c>
      <c r="AU215" s="1223">
        <v>1776331</v>
      </c>
      <c r="AV215" s="1223">
        <v>1504203</v>
      </c>
      <c r="AW215" s="1223">
        <v>22630</v>
      </c>
      <c r="AX215" s="1223"/>
      <c r="AY215" s="1027">
        <f t="shared" si="389"/>
        <v>0</v>
      </c>
      <c r="AZ215" s="1071">
        <v>120000000</v>
      </c>
      <c r="BA215" s="1000">
        <f t="shared" si="404"/>
        <v>30905078</v>
      </c>
      <c r="BB215" s="973">
        <f t="shared" si="405"/>
        <v>0.25754231666666666</v>
      </c>
      <c r="BC215" s="1029">
        <f t="shared" si="406"/>
        <v>29940876</v>
      </c>
      <c r="BD215" s="973">
        <f t="shared" si="407"/>
        <v>0.24950729999999999</v>
      </c>
      <c r="BE215" s="1030"/>
      <c r="BF215" s="1030"/>
      <c r="BG215" s="953" t="s">
        <v>1703</v>
      </c>
      <c r="BH215" s="1224" t="s">
        <v>2541</v>
      </c>
    </row>
    <row r="216" spans="1:61" s="908" customFormat="1" ht="47.4" customHeight="1">
      <c r="A216" s="1220" t="s">
        <v>2542</v>
      </c>
      <c r="B216" s="980" t="s">
        <v>2543</v>
      </c>
      <c r="C216" s="948" t="s">
        <v>1056</v>
      </c>
      <c r="D216" s="1219">
        <v>0.9</v>
      </c>
      <c r="E216" s="1219">
        <v>0.9</v>
      </c>
      <c r="F216" s="1219">
        <v>0.9</v>
      </c>
      <c r="G216" s="1219">
        <v>0.9</v>
      </c>
      <c r="H216" s="1219">
        <v>0.9</v>
      </c>
      <c r="I216" s="951">
        <v>1</v>
      </c>
      <c r="J216" s="951">
        <v>0.9</v>
      </c>
      <c r="K216" s="951">
        <v>0.9</v>
      </c>
      <c r="L216" s="949"/>
      <c r="M216" s="949"/>
      <c r="N216" s="949"/>
      <c r="O216" s="951">
        <f t="shared" si="420"/>
        <v>1</v>
      </c>
      <c r="P216" s="973">
        <f t="shared" si="420"/>
        <v>1</v>
      </c>
      <c r="Q216" s="973">
        <f t="shared" si="420"/>
        <v>1</v>
      </c>
      <c r="R216" s="951">
        <f t="shared" si="421"/>
        <v>1</v>
      </c>
      <c r="S216" s="1198" t="s">
        <v>2544</v>
      </c>
      <c r="T216" s="974">
        <v>45107</v>
      </c>
      <c r="U216" s="985" t="s">
        <v>2115</v>
      </c>
      <c r="V216" s="985"/>
      <c r="W216" s="952" t="s">
        <v>2116</v>
      </c>
      <c r="X216" s="976">
        <v>265</v>
      </c>
      <c r="Y216" s="951">
        <f t="shared" si="422"/>
        <v>3.6</v>
      </c>
      <c r="Z216" s="956">
        <f t="shared" si="423"/>
        <v>3.6999999999999997</v>
      </c>
      <c r="AA216" s="971">
        <f t="shared" si="424"/>
        <v>1</v>
      </c>
      <c r="AB216" s="1222">
        <v>0.4</v>
      </c>
      <c r="AC216" s="1222">
        <v>0.44</v>
      </c>
      <c r="AD216" s="1222">
        <v>0.4</v>
      </c>
      <c r="AE216" s="1226">
        <v>0.44</v>
      </c>
      <c r="AF216" s="1226">
        <v>0.44</v>
      </c>
      <c r="AG216" s="1223">
        <v>280000000</v>
      </c>
      <c r="AH216" s="1223">
        <v>120914682</v>
      </c>
      <c r="AI216" s="1223">
        <v>179743921</v>
      </c>
      <c r="AJ216" s="1223">
        <v>326463956</v>
      </c>
      <c r="AK216" s="1223">
        <v>280000000</v>
      </c>
      <c r="AL216" s="959">
        <f t="shared" si="401"/>
        <v>1</v>
      </c>
      <c r="AM216" s="1223">
        <v>92914682</v>
      </c>
      <c r="AN216" s="1223">
        <v>123723644</v>
      </c>
      <c r="AO216" s="1223">
        <v>259712261</v>
      </c>
      <c r="AP216" s="1223">
        <v>136677166</v>
      </c>
      <c r="AQ216" s="1026">
        <f t="shared" si="402"/>
        <v>0.48813273571428573</v>
      </c>
      <c r="AR216" s="958">
        <f t="shared" si="425"/>
        <v>66751695</v>
      </c>
      <c r="AS216" s="1223">
        <v>28000000</v>
      </c>
      <c r="AT216" s="1223">
        <v>19001563</v>
      </c>
      <c r="AU216" s="1223">
        <v>56020277</v>
      </c>
      <c r="AV216" s="1223">
        <v>54562074</v>
      </c>
      <c r="AW216" s="1223">
        <v>66751695</v>
      </c>
      <c r="AX216" s="1223"/>
      <c r="AY216" s="1027">
        <f t="shared" si="389"/>
        <v>0</v>
      </c>
      <c r="AZ216" s="1071">
        <v>1044277512</v>
      </c>
      <c r="BA216" s="1000">
        <f t="shared" si="404"/>
        <v>907122559</v>
      </c>
      <c r="BB216" s="973">
        <f t="shared" si="405"/>
        <v>0.86866043611595078</v>
      </c>
      <c r="BC216" s="1029">
        <f t="shared" si="406"/>
        <v>686591390</v>
      </c>
      <c r="BD216" s="973">
        <f t="shared" si="407"/>
        <v>0.65747981940647204</v>
      </c>
      <c r="BE216" s="1030"/>
      <c r="BF216" s="1030"/>
      <c r="BG216" s="953" t="s">
        <v>1703</v>
      </c>
      <c r="BH216" s="1224" t="s">
        <v>2545</v>
      </c>
    </row>
    <row r="217" spans="1:61" s="908" customFormat="1" ht="47.4" customHeight="1">
      <c r="A217" s="1220" t="s">
        <v>2546</v>
      </c>
      <c r="B217" s="980" t="s">
        <v>2547</v>
      </c>
      <c r="C217" s="980" t="s">
        <v>2108</v>
      </c>
      <c r="D217" s="1033">
        <v>10</v>
      </c>
      <c r="E217" s="1033">
        <v>10</v>
      </c>
      <c r="F217" s="1033">
        <v>10</v>
      </c>
      <c r="G217" s="1033">
        <v>10</v>
      </c>
      <c r="H217" s="1033">
        <v>35</v>
      </c>
      <c r="I217" s="949">
        <v>31</v>
      </c>
      <c r="J217" s="949">
        <v>25</v>
      </c>
      <c r="K217" s="949">
        <v>37</v>
      </c>
      <c r="L217" s="949"/>
      <c r="M217" s="949"/>
      <c r="N217" s="949"/>
      <c r="O217" s="951">
        <f t="shared" si="420"/>
        <v>1</v>
      </c>
      <c r="P217" s="973">
        <f t="shared" si="420"/>
        <v>1</v>
      </c>
      <c r="Q217" s="973">
        <f t="shared" si="420"/>
        <v>1</v>
      </c>
      <c r="R217" s="951">
        <f t="shared" si="421"/>
        <v>1</v>
      </c>
      <c r="S217" s="908" t="s">
        <v>2548</v>
      </c>
      <c r="T217" s="974">
        <v>45107</v>
      </c>
      <c r="U217" s="912"/>
      <c r="V217" s="1225"/>
      <c r="W217" s="953"/>
      <c r="Y217" s="912">
        <f t="shared" si="422"/>
        <v>40</v>
      </c>
      <c r="Z217" s="956">
        <f t="shared" si="423"/>
        <v>128</v>
      </c>
      <c r="AA217" s="971">
        <f t="shared" si="424"/>
        <v>1</v>
      </c>
      <c r="AB217" s="1222">
        <v>0.4</v>
      </c>
      <c r="AC217" s="1222">
        <v>0.44</v>
      </c>
      <c r="AD217" s="1222">
        <v>0.4</v>
      </c>
      <c r="AE217" s="1226">
        <v>0.43</v>
      </c>
      <c r="AF217" s="1226">
        <v>0.43</v>
      </c>
      <c r="AG217" s="1223">
        <v>244912240</v>
      </c>
      <c r="AH217" s="1223">
        <v>218315733</v>
      </c>
      <c r="AI217" s="1223">
        <v>310687166.39999998</v>
      </c>
      <c r="AJ217" s="1223">
        <v>206177162</v>
      </c>
      <c r="AK217" s="1223">
        <v>244884231</v>
      </c>
      <c r="AL217" s="959">
        <f t="shared" si="401"/>
        <v>0.99988563658557861</v>
      </c>
      <c r="AM217" s="1223">
        <v>218315733</v>
      </c>
      <c r="AN217" s="1223">
        <v>296293266</v>
      </c>
      <c r="AO217" s="1223">
        <v>206177162</v>
      </c>
      <c r="AP217" s="1223">
        <v>244884231</v>
      </c>
      <c r="AQ217" s="971">
        <f t="shared" si="402"/>
        <v>0.99988563658557861</v>
      </c>
      <c r="AR217" s="958">
        <f t="shared" si="425"/>
        <v>0</v>
      </c>
      <c r="AS217" s="1223">
        <v>0</v>
      </c>
      <c r="AT217" s="1223">
        <v>0</v>
      </c>
      <c r="AU217" s="1223">
        <v>14393900.4</v>
      </c>
      <c r="AV217" s="1223">
        <v>1237381.3999999999</v>
      </c>
      <c r="AW217" s="1223"/>
      <c r="AX217" s="1223"/>
      <c r="AY217" s="999" t="e">
        <f t="shared" si="389"/>
        <v>#DIV/0!</v>
      </c>
      <c r="AZ217" s="1084">
        <v>990000000</v>
      </c>
      <c r="BA217" s="1000">
        <f t="shared" si="404"/>
        <v>980064292.39999998</v>
      </c>
      <c r="BB217" s="971">
        <f t="shared" si="405"/>
        <v>0.98996393171717167</v>
      </c>
      <c r="BC217" s="1001">
        <f t="shared" si="406"/>
        <v>966907773.39999998</v>
      </c>
      <c r="BD217" s="951">
        <f t="shared" si="407"/>
        <v>0.97667451858585852</v>
      </c>
      <c r="BE217" s="969"/>
      <c r="BF217" s="969"/>
      <c r="BG217" s="953" t="s">
        <v>1703</v>
      </c>
      <c r="BH217" s="1224" t="s">
        <v>2549</v>
      </c>
    </row>
    <row r="218" spans="1:61" s="908" customFormat="1" ht="47.4" customHeight="1">
      <c r="A218" s="925" t="s">
        <v>2550</v>
      </c>
      <c r="B218" s="926"/>
      <c r="C218" s="926"/>
      <c r="D218" s="927"/>
      <c r="E218" s="927"/>
      <c r="F218" s="927"/>
      <c r="G218" s="927"/>
      <c r="H218" s="927"/>
      <c r="I218" s="927"/>
      <c r="J218" s="927"/>
      <c r="K218" s="927"/>
      <c r="L218" s="927"/>
      <c r="M218" s="927"/>
      <c r="N218" s="927"/>
      <c r="O218" s="928">
        <f>+(O219*AC219)+(O227*AC227)</f>
        <v>1</v>
      </c>
      <c r="P218" s="928">
        <f t="shared" ref="P218:R218" si="426">+(P219*AD219)+(P227*AD227)</f>
        <v>1</v>
      </c>
      <c r="Q218" s="928">
        <f t="shared" si="426"/>
        <v>0.99999999999999933</v>
      </c>
      <c r="R218" s="928">
        <f t="shared" si="426"/>
        <v>1</v>
      </c>
      <c r="S218" s="1176"/>
      <c r="T218" s="1176"/>
      <c r="U218" s="926"/>
      <c r="V218" s="926"/>
      <c r="W218" s="926"/>
      <c r="X218" s="1176"/>
      <c r="Y218" s="1177"/>
      <c r="Z218" s="929"/>
      <c r="AA218" s="928">
        <f>+(AA219*AB219)+(AA227*AB227)</f>
        <v>1</v>
      </c>
      <c r="AB218" s="928">
        <v>0.1</v>
      </c>
      <c r="AC218" s="928">
        <v>0.1</v>
      </c>
      <c r="AD218" s="928">
        <v>0.1</v>
      </c>
      <c r="AE218" s="928">
        <v>0.1</v>
      </c>
      <c r="AF218" s="928">
        <v>0.1</v>
      </c>
      <c r="AG218" s="926">
        <f>+AG219+AG227</f>
        <v>456297027</v>
      </c>
      <c r="AH218" s="926">
        <f>+AH219+AH227</f>
        <v>103830000</v>
      </c>
      <c r="AI218" s="926">
        <f>+AI219+AI227</f>
        <v>170793813</v>
      </c>
      <c r="AJ218" s="926">
        <f>+AJ219+AJ227</f>
        <v>354408889</v>
      </c>
      <c r="AK218" s="926">
        <f>+AK219+AK227</f>
        <v>456060722</v>
      </c>
      <c r="AL218" s="931">
        <f t="shared" si="401"/>
        <v>0.99948212461178276</v>
      </c>
      <c r="AM218" s="926">
        <f>+AM219+AM227</f>
        <v>67230000</v>
      </c>
      <c r="AN218" s="926">
        <f>+AN219+AN227</f>
        <v>154222709</v>
      </c>
      <c r="AO218" s="926">
        <f>+AO219+AO227</f>
        <v>344918056</v>
      </c>
      <c r="AP218" s="926">
        <f>+AP219+AP227</f>
        <v>283605820</v>
      </c>
      <c r="AQ218" s="1229">
        <f t="shared" si="402"/>
        <v>0.62153773357808884</v>
      </c>
      <c r="AR218" s="926">
        <f t="shared" ref="AR218:AX218" si="427">+AR219+AR227</f>
        <v>9490833</v>
      </c>
      <c r="AS218" s="926">
        <f t="shared" si="427"/>
        <v>36600000</v>
      </c>
      <c r="AT218" s="926">
        <f t="shared" si="427"/>
        <v>36600000</v>
      </c>
      <c r="AU218" s="926">
        <f t="shared" si="427"/>
        <v>16571104</v>
      </c>
      <c r="AV218" s="926">
        <f t="shared" si="427"/>
        <v>14283762</v>
      </c>
      <c r="AW218" s="926">
        <f t="shared" si="427"/>
        <v>9490833</v>
      </c>
      <c r="AX218" s="926">
        <f t="shared" si="427"/>
        <v>8478214</v>
      </c>
      <c r="AY218" s="1111">
        <f t="shared" si="389"/>
        <v>0</v>
      </c>
      <c r="AZ218" s="926">
        <f t="shared" ref="AZ218" si="428">+AZ219+AZ227</f>
        <v>1590297027</v>
      </c>
      <c r="BA218" s="926">
        <f t="shared" si="404"/>
        <v>1085093424</v>
      </c>
      <c r="BB218" s="1109">
        <f t="shared" si="405"/>
        <v>0.68232123029681047</v>
      </c>
      <c r="BC218" s="1230">
        <f t="shared" si="406"/>
        <v>909338561</v>
      </c>
      <c r="BD218" s="1109">
        <f t="shared" si="407"/>
        <v>0.57180422623024874</v>
      </c>
      <c r="BE218" s="926"/>
      <c r="BF218" s="926" t="s">
        <v>1702</v>
      </c>
      <c r="BG218" s="926"/>
      <c r="BH218" s="926"/>
    </row>
    <row r="219" spans="1:61" s="908" customFormat="1" ht="47.4" customHeight="1">
      <c r="A219" s="936" t="s">
        <v>2551</v>
      </c>
      <c r="B219" s="937"/>
      <c r="C219" s="937"/>
      <c r="D219" s="938"/>
      <c r="E219" s="938"/>
      <c r="F219" s="938"/>
      <c r="G219" s="938"/>
      <c r="H219" s="938"/>
      <c r="I219" s="938"/>
      <c r="J219" s="938"/>
      <c r="K219" s="938"/>
      <c r="L219" s="938"/>
      <c r="M219" s="938"/>
      <c r="N219" s="938"/>
      <c r="O219" s="939">
        <f>+SUMPRODUCT(O220:O226,AC220:AC226)</f>
        <v>1</v>
      </c>
      <c r="P219" s="939">
        <f t="shared" ref="P219:R219" si="429">+SUMPRODUCT(P220:P226,AD220:AD226)</f>
        <v>1</v>
      </c>
      <c r="Q219" s="939">
        <f t="shared" si="429"/>
        <v>0.99999999999999911</v>
      </c>
      <c r="R219" s="939">
        <f t="shared" si="429"/>
        <v>1</v>
      </c>
      <c r="S219" s="1178"/>
      <c r="T219" s="1178"/>
      <c r="U219" s="937"/>
      <c r="V219" s="937"/>
      <c r="W219" s="937"/>
      <c r="X219" s="1178"/>
      <c r="Y219" s="1102"/>
      <c r="Z219" s="940"/>
      <c r="AA219" s="939">
        <f>+SUMPRODUCT(AA220:AA226,AB220:AB226)</f>
        <v>1</v>
      </c>
      <c r="AB219" s="939">
        <v>0.8</v>
      </c>
      <c r="AC219" s="939">
        <v>0.8</v>
      </c>
      <c r="AD219" s="939">
        <v>0.8</v>
      </c>
      <c r="AE219" s="939">
        <v>0.8</v>
      </c>
      <c r="AF219" s="939">
        <v>0.8</v>
      </c>
      <c r="AG219" s="937">
        <f>SUM(AG220:AG226)</f>
        <v>386297027</v>
      </c>
      <c r="AH219" s="937">
        <f>SUM(AH220:AH226)</f>
        <v>52830000</v>
      </c>
      <c r="AI219" s="937">
        <f>SUM(AI220:AI226)</f>
        <v>126817400</v>
      </c>
      <c r="AJ219" s="937">
        <f>SUM(AJ220:AJ226)</f>
        <v>304434731</v>
      </c>
      <c r="AK219" s="937">
        <f>SUM(AK220:AK226)</f>
        <v>386060722</v>
      </c>
      <c r="AL219" s="943">
        <f t="shared" si="401"/>
        <v>0.99938828159813919</v>
      </c>
      <c r="AM219" s="937">
        <f>SUM(AM220:AM226)</f>
        <v>49230000</v>
      </c>
      <c r="AN219" s="945">
        <f>SUM(AN220:AN226)</f>
        <v>112237392</v>
      </c>
      <c r="AO219" s="945">
        <f>SUM(AO220:AO226)</f>
        <v>296418361</v>
      </c>
      <c r="AP219" s="937">
        <f>SUM(AP220:AP226)</f>
        <v>215167858</v>
      </c>
      <c r="AQ219" s="944">
        <f t="shared" si="402"/>
        <v>0.55700107161321744</v>
      </c>
      <c r="AR219" s="945">
        <f t="shared" ref="AR219:AX219" si="430">SUM(AR220:AR226)</f>
        <v>8016370</v>
      </c>
      <c r="AS219" s="937">
        <f t="shared" si="430"/>
        <v>3600000</v>
      </c>
      <c r="AT219" s="937">
        <f t="shared" si="430"/>
        <v>3600000</v>
      </c>
      <c r="AU219" s="937">
        <f t="shared" si="430"/>
        <v>14580008</v>
      </c>
      <c r="AV219" s="937">
        <f t="shared" si="430"/>
        <v>12627135</v>
      </c>
      <c r="AW219" s="937">
        <f t="shared" si="430"/>
        <v>8016370</v>
      </c>
      <c r="AX219" s="937">
        <f t="shared" si="430"/>
        <v>7690267</v>
      </c>
      <c r="AY219" s="946">
        <f t="shared" si="389"/>
        <v>0</v>
      </c>
      <c r="AZ219" s="937">
        <f t="shared" ref="AZ219" si="431">SUM(AZ220:AZ226)</f>
        <v>1345297027</v>
      </c>
      <c r="BA219" s="937">
        <f t="shared" si="404"/>
        <v>870142853</v>
      </c>
      <c r="BB219" s="939">
        <f t="shared" si="405"/>
        <v>0.64680352036487476</v>
      </c>
      <c r="BC219" s="1005">
        <f t="shared" si="406"/>
        <v>696971013</v>
      </c>
      <c r="BD219" s="939">
        <f t="shared" si="407"/>
        <v>0.51807965007864398</v>
      </c>
      <c r="BE219" s="945"/>
      <c r="BF219" s="945"/>
      <c r="BG219" s="945"/>
      <c r="BH219" s="945"/>
    </row>
    <row r="220" spans="1:61" s="908" customFormat="1" ht="47.4" customHeight="1">
      <c r="A220" s="1231" t="s">
        <v>2552</v>
      </c>
      <c r="B220" s="1232" t="s">
        <v>2553</v>
      </c>
      <c r="C220" s="980" t="s">
        <v>2108</v>
      </c>
      <c r="D220" s="1033">
        <v>1</v>
      </c>
      <c r="E220" s="1033">
        <v>1</v>
      </c>
      <c r="F220" s="1033">
        <v>1</v>
      </c>
      <c r="G220" s="1033">
        <v>1</v>
      </c>
      <c r="H220" s="949">
        <v>1</v>
      </c>
      <c r="I220" s="949">
        <v>1</v>
      </c>
      <c r="J220" s="982">
        <v>1</v>
      </c>
      <c r="K220" s="982">
        <v>1</v>
      </c>
      <c r="L220" s="949"/>
      <c r="M220" s="949"/>
      <c r="N220" s="949"/>
      <c r="O220" s="951">
        <f t="shared" ref="O220:Q226" si="432">+IFERROR(IF((H220+L220)/D220&gt;=100%,100%,(H220+L220)/D220),0)</f>
        <v>1</v>
      </c>
      <c r="P220" s="973">
        <f t="shared" si="432"/>
        <v>1</v>
      </c>
      <c r="Q220" s="973">
        <f t="shared" si="432"/>
        <v>1</v>
      </c>
      <c r="R220" s="951">
        <f t="shared" ref="R220:R226" si="433">+IFERROR(IF(K220/G220&gt;=100%,100%,K220/G220),0)</f>
        <v>1</v>
      </c>
      <c r="S220" s="908" t="s">
        <v>2554</v>
      </c>
      <c r="T220" s="974">
        <v>45107</v>
      </c>
      <c r="U220" s="985"/>
      <c r="V220" s="985"/>
      <c r="W220" s="952"/>
      <c r="X220" s="976"/>
      <c r="Y220" s="1233">
        <f t="shared" ref="Y220:Y226" si="434">SUM(D220:G220)</f>
        <v>4</v>
      </c>
      <c r="Z220" s="956">
        <f t="shared" ref="Z220:Z226" si="435">SUM(H220:N220)</f>
        <v>4</v>
      </c>
      <c r="AA220" s="971">
        <f t="shared" ref="AA220:AA226" si="436">IF(Z220/Y220&gt;=100%,100%,Z220/Y220)</f>
        <v>1</v>
      </c>
      <c r="AB220" s="1234">
        <v>0.2</v>
      </c>
      <c r="AC220" s="1234">
        <v>0.22</v>
      </c>
      <c r="AD220" s="1234">
        <v>0.2</v>
      </c>
      <c r="AE220" s="951">
        <f>+AD220*1.11111111111111</f>
        <v>0.22222222222222202</v>
      </c>
      <c r="AF220" s="1234">
        <v>0.2</v>
      </c>
      <c r="AG220" s="1235">
        <v>50000000</v>
      </c>
      <c r="AH220" s="1235">
        <v>8330000</v>
      </c>
      <c r="AI220" s="1235">
        <v>31878784</v>
      </c>
      <c r="AJ220" s="1235">
        <v>49974158</v>
      </c>
      <c r="AK220" s="1235">
        <v>50000000</v>
      </c>
      <c r="AL220" s="959">
        <f t="shared" si="401"/>
        <v>1</v>
      </c>
      <c r="AM220" s="1235">
        <v>8330000</v>
      </c>
      <c r="AN220" s="1235">
        <v>29804729</v>
      </c>
      <c r="AO220" s="1235">
        <v>49189809</v>
      </c>
      <c r="AP220" s="1235">
        <v>48884259</v>
      </c>
      <c r="AQ220" s="971">
        <f t="shared" si="402"/>
        <v>0.97768518000000004</v>
      </c>
      <c r="AR220" s="958">
        <f t="shared" ref="AR220:AR226" si="437">+AJ220-AO220</f>
        <v>784349</v>
      </c>
      <c r="AS220" s="1235">
        <v>0</v>
      </c>
      <c r="AT220" s="1235">
        <v>0</v>
      </c>
      <c r="AU220" s="1235">
        <v>2074055</v>
      </c>
      <c r="AV220" s="1235">
        <v>1782414</v>
      </c>
      <c r="AW220" s="1235">
        <v>784349</v>
      </c>
      <c r="AX220" s="1235">
        <v>745554</v>
      </c>
      <c r="AY220" s="999">
        <f t="shared" si="389"/>
        <v>10.809236704579211</v>
      </c>
      <c r="AZ220" s="1084">
        <v>190000000</v>
      </c>
      <c r="BA220" s="1000">
        <f t="shared" si="404"/>
        <v>140182942</v>
      </c>
      <c r="BB220" s="951">
        <f t="shared" si="405"/>
        <v>0.73780495789473688</v>
      </c>
      <c r="BC220" s="1001">
        <f t="shared" si="406"/>
        <v>138736765</v>
      </c>
      <c r="BD220" s="951">
        <f t="shared" si="407"/>
        <v>0.73019350000000005</v>
      </c>
      <c r="BE220" s="969"/>
      <c r="BF220" s="969"/>
      <c r="BG220" s="953" t="s">
        <v>1703</v>
      </c>
      <c r="BH220" s="1236" t="s">
        <v>2555</v>
      </c>
    </row>
    <row r="221" spans="1:61" s="908" customFormat="1" ht="47.4" customHeight="1">
      <c r="A221" s="1231" t="s">
        <v>2556</v>
      </c>
      <c r="B221" s="1232" t="s">
        <v>2557</v>
      </c>
      <c r="C221" s="980" t="s">
        <v>2108</v>
      </c>
      <c r="D221" s="1033">
        <v>1</v>
      </c>
      <c r="E221" s="1033">
        <v>0.1</v>
      </c>
      <c r="F221" s="1237">
        <v>1</v>
      </c>
      <c r="G221" s="1237">
        <v>1</v>
      </c>
      <c r="H221" s="949">
        <v>0</v>
      </c>
      <c r="I221" s="1033">
        <v>0.1</v>
      </c>
      <c r="J221" s="949">
        <v>1</v>
      </c>
      <c r="K221" s="949">
        <v>1</v>
      </c>
      <c r="L221" s="949">
        <v>1</v>
      </c>
      <c r="M221" s="981"/>
      <c r="N221" s="981"/>
      <c r="O221" s="973">
        <f t="shared" si="432"/>
        <v>1</v>
      </c>
      <c r="P221" s="973">
        <f t="shared" si="432"/>
        <v>1</v>
      </c>
      <c r="Q221" s="973">
        <f t="shared" si="432"/>
        <v>1</v>
      </c>
      <c r="R221" s="951">
        <f t="shared" si="433"/>
        <v>1</v>
      </c>
      <c r="S221" s="1238" t="s">
        <v>2558</v>
      </c>
      <c r="T221" s="974">
        <v>45107</v>
      </c>
      <c r="U221" s="984"/>
      <c r="V221" s="985"/>
      <c r="W221" s="952"/>
      <c r="X221" s="1198"/>
      <c r="Y221" s="1239">
        <f t="shared" si="434"/>
        <v>3.1</v>
      </c>
      <c r="Z221" s="956">
        <f t="shared" si="435"/>
        <v>3.1</v>
      </c>
      <c r="AA221" s="1026">
        <f t="shared" si="436"/>
        <v>1</v>
      </c>
      <c r="AB221" s="1234">
        <v>0.15</v>
      </c>
      <c r="AC221" s="1234">
        <v>0.16</v>
      </c>
      <c r="AD221" s="1234">
        <v>0.15</v>
      </c>
      <c r="AE221" s="951">
        <f>+AD221*1.11111111111111</f>
        <v>0.16666666666666649</v>
      </c>
      <c r="AF221" s="1234">
        <v>0.15</v>
      </c>
      <c r="AG221" s="1240">
        <v>10000000</v>
      </c>
      <c r="AH221" s="1235">
        <v>15000000</v>
      </c>
      <c r="AI221" s="1235">
        <v>20178784</v>
      </c>
      <c r="AJ221" s="1235">
        <v>39979542</v>
      </c>
      <c r="AK221" s="1235">
        <v>10000000</v>
      </c>
      <c r="AL221" s="1025">
        <f t="shared" si="401"/>
        <v>1</v>
      </c>
      <c r="AM221" s="1235">
        <v>15000000</v>
      </c>
      <c r="AN221" s="1235">
        <v>18104729</v>
      </c>
      <c r="AO221" s="1235">
        <v>39470500</v>
      </c>
      <c r="AP221" s="1235">
        <v>9776852</v>
      </c>
      <c r="AQ221" s="1026">
        <f t="shared" si="402"/>
        <v>0.97768520000000003</v>
      </c>
      <c r="AR221" s="958">
        <f t="shared" si="437"/>
        <v>509042</v>
      </c>
      <c r="AS221" s="1235">
        <v>0</v>
      </c>
      <c r="AT221" s="1235">
        <v>0</v>
      </c>
      <c r="AU221" s="1235">
        <v>2074055</v>
      </c>
      <c r="AV221" s="1235">
        <v>1756315</v>
      </c>
      <c r="AW221" s="1235">
        <v>509042</v>
      </c>
      <c r="AX221" s="1235">
        <v>478329</v>
      </c>
      <c r="AY221" s="1027">
        <f t="shared" si="389"/>
        <v>15.10733299020513</v>
      </c>
      <c r="AZ221" s="1050">
        <v>120000000</v>
      </c>
      <c r="BA221" s="1000">
        <f t="shared" si="404"/>
        <v>85158326</v>
      </c>
      <c r="BB221" s="973">
        <f t="shared" si="405"/>
        <v>0.70965271666666663</v>
      </c>
      <c r="BC221" s="1029">
        <f t="shared" si="406"/>
        <v>84586725</v>
      </c>
      <c r="BD221" s="973">
        <f t="shared" si="407"/>
        <v>0.70488937500000004</v>
      </c>
      <c r="BE221" s="1030"/>
      <c r="BF221" s="1030"/>
      <c r="BG221" s="953" t="s">
        <v>1703</v>
      </c>
      <c r="BH221" s="1369" t="s">
        <v>2555</v>
      </c>
    </row>
    <row r="222" spans="1:61" s="908" customFormat="1" ht="47.4" customHeight="1">
      <c r="A222" s="1231" t="s">
        <v>2559</v>
      </c>
      <c r="B222" s="1232" t="s">
        <v>2560</v>
      </c>
      <c r="C222" s="980" t="s">
        <v>2108</v>
      </c>
      <c r="D222" s="1033">
        <v>1</v>
      </c>
      <c r="E222" s="1033">
        <v>0.1</v>
      </c>
      <c r="F222" s="1033">
        <v>1</v>
      </c>
      <c r="G222" s="1033">
        <v>1</v>
      </c>
      <c r="H222" s="949">
        <v>1</v>
      </c>
      <c r="I222" s="1033">
        <v>0.1</v>
      </c>
      <c r="J222" s="981">
        <v>1</v>
      </c>
      <c r="K222" s="981">
        <v>1</v>
      </c>
      <c r="L222" s="949"/>
      <c r="M222" s="981"/>
      <c r="N222" s="981"/>
      <c r="O222" s="973">
        <f t="shared" si="432"/>
        <v>1</v>
      </c>
      <c r="P222" s="973">
        <f t="shared" si="432"/>
        <v>1</v>
      </c>
      <c r="Q222" s="973">
        <f t="shared" si="432"/>
        <v>1</v>
      </c>
      <c r="R222" s="951">
        <f t="shared" si="433"/>
        <v>1</v>
      </c>
      <c r="S222" s="1241" t="s">
        <v>2561</v>
      </c>
      <c r="T222" s="974">
        <v>45107</v>
      </c>
      <c r="U222" s="985" t="s">
        <v>2115</v>
      </c>
      <c r="V222" s="985"/>
      <c r="W222" s="952" t="s">
        <v>2116</v>
      </c>
      <c r="X222" s="976" t="s">
        <v>2562</v>
      </c>
      <c r="Y222" s="1239">
        <f t="shared" si="434"/>
        <v>3.1</v>
      </c>
      <c r="Z222" s="956">
        <f t="shared" si="435"/>
        <v>3.1</v>
      </c>
      <c r="AA222" s="1026">
        <f t="shared" si="436"/>
        <v>1</v>
      </c>
      <c r="AB222" s="1234">
        <v>0.15</v>
      </c>
      <c r="AC222" s="1234">
        <v>0.16</v>
      </c>
      <c r="AD222" s="1234">
        <v>0.15</v>
      </c>
      <c r="AE222" s="951">
        <f>+AD222*1.11111111111111</f>
        <v>0.16666666666666649</v>
      </c>
      <c r="AF222" s="1234">
        <v>0.15</v>
      </c>
      <c r="AG222" s="1240">
        <v>91297027</v>
      </c>
      <c r="AH222" s="1235">
        <v>15000000</v>
      </c>
      <c r="AI222" s="1235">
        <v>20178784</v>
      </c>
      <c r="AJ222" s="1235">
        <v>39979542</v>
      </c>
      <c r="AK222" s="1235">
        <v>91293569</v>
      </c>
      <c r="AL222" s="1025">
        <f t="shared" si="401"/>
        <v>0.99996212362972126</v>
      </c>
      <c r="AM222" s="1235">
        <v>11400000</v>
      </c>
      <c r="AN222" s="1235">
        <v>18104729</v>
      </c>
      <c r="AO222" s="1235">
        <v>39358599</v>
      </c>
      <c r="AP222" s="1235">
        <v>67726178</v>
      </c>
      <c r="AQ222" s="1026">
        <f t="shared" si="402"/>
        <v>0.74182238157656544</v>
      </c>
      <c r="AR222" s="958">
        <f t="shared" si="437"/>
        <v>620943</v>
      </c>
      <c r="AS222" s="1235">
        <v>3600000</v>
      </c>
      <c r="AT222" s="1235">
        <v>3600000</v>
      </c>
      <c r="AU222" s="1235">
        <v>2074055</v>
      </c>
      <c r="AV222" s="1235">
        <v>1782414</v>
      </c>
      <c r="AW222" s="1235">
        <v>620943</v>
      </c>
      <c r="AX222" s="1235">
        <v>590230</v>
      </c>
      <c r="AY222" s="1027">
        <f t="shared" si="389"/>
        <v>1.2006802556756417</v>
      </c>
      <c r="AZ222" s="1050">
        <v>201297027</v>
      </c>
      <c r="BA222" s="1000">
        <f t="shared" si="404"/>
        <v>166451895</v>
      </c>
      <c r="BB222" s="973">
        <f t="shared" si="405"/>
        <v>0.82689693673419229</v>
      </c>
      <c r="BC222" s="1029">
        <f t="shared" si="406"/>
        <v>142562150</v>
      </c>
      <c r="BD222" s="973">
        <f t="shared" si="407"/>
        <v>0.70821786155838262</v>
      </c>
      <c r="BE222" s="1030"/>
      <c r="BF222" s="1030"/>
      <c r="BG222" s="953" t="s">
        <v>1703</v>
      </c>
      <c r="BH222" s="1370"/>
    </row>
    <row r="223" spans="1:61" s="908" customFormat="1" ht="47.4" customHeight="1">
      <c r="A223" s="1231" t="s">
        <v>2563</v>
      </c>
      <c r="B223" s="1232" t="s">
        <v>2564</v>
      </c>
      <c r="C223" s="1232" t="s">
        <v>2108</v>
      </c>
      <c r="D223" s="1033">
        <v>1</v>
      </c>
      <c r="E223" s="1033">
        <v>0.1</v>
      </c>
      <c r="F223" s="1033">
        <v>1</v>
      </c>
      <c r="G223" s="1033">
        <v>1</v>
      </c>
      <c r="H223" s="949">
        <v>0</v>
      </c>
      <c r="I223" s="1033">
        <v>0.1</v>
      </c>
      <c r="J223" s="981">
        <v>1</v>
      </c>
      <c r="K223" s="981">
        <v>1</v>
      </c>
      <c r="L223" s="949">
        <v>1</v>
      </c>
      <c r="M223" s="981">
        <v>0.1</v>
      </c>
      <c r="N223" s="981"/>
      <c r="O223" s="973">
        <f t="shared" si="432"/>
        <v>1</v>
      </c>
      <c r="P223" s="973">
        <f t="shared" si="432"/>
        <v>1</v>
      </c>
      <c r="Q223" s="973">
        <f t="shared" si="432"/>
        <v>1</v>
      </c>
      <c r="R223" s="951">
        <f t="shared" si="433"/>
        <v>1</v>
      </c>
      <c r="S223" s="1242" t="s">
        <v>2565</v>
      </c>
      <c r="T223" s="974">
        <v>45107</v>
      </c>
      <c r="U223" s="985"/>
      <c r="V223" s="985"/>
      <c r="W223" s="952"/>
      <c r="X223" s="976"/>
      <c r="Y223" s="1239">
        <f t="shared" si="434"/>
        <v>3.1</v>
      </c>
      <c r="Z223" s="956">
        <f t="shared" si="435"/>
        <v>3.2</v>
      </c>
      <c r="AA223" s="1026">
        <f t="shared" si="436"/>
        <v>1</v>
      </c>
      <c r="AB223" s="1234">
        <v>0.15</v>
      </c>
      <c r="AC223" s="1234">
        <v>0.16</v>
      </c>
      <c r="AD223" s="1234">
        <v>0.15</v>
      </c>
      <c r="AE223" s="951">
        <f>+AD223*1.11111111111111</f>
        <v>0.16666666666666649</v>
      </c>
      <c r="AF223" s="1234">
        <v>0.15</v>
      </c>
      <c r="AG223" s="1240">
        <v>50000000</v>
      </c>
      <c r="AH223" s="1235">
        <v>0</v>
      </c>
      <c r="AI223" s="1235">
        <v>19534088</v>
      </c>
      <c r="AJ223" s="1235">
        <v>29755339</v>
      </c>
      <c r="AK223" s="1235">
        <v>49994788</v>
      </c>
      <c r="AL223" s="1025">
        <f t="shared" si="401"/>
        <v>0.99989576000000002</v>
      </c>
      <c r="AM223" s="1235">
        <v>0</v>
      </c>
      <c r="AN223" s="1235">
        <v>17978547</v>
      </c>
      <c r="AO223" s="1235">
        <v>27987507</v>
      </c>
      <c r="AP223" s="1235">
        <v>22451301</v>
      </c>
      <c r="AQ223" s="1026">
        <f t="shared" si="402"/>
        <v>0.44902602000000003</v>
      </c>
      <c r="AR223" s="958">
        <f t="shared" si="437"/>
        <v>1767832</v>
      </c>
      <c r="AS223" s="1235">
        <v>0</v>
      </c>
      <c r="AT223" s="1235">
        <v>0</v>
      </c>
      <c r="AU223" s="1235">
        <v>1555541</v>
      </c>
      <c r="AV223" s="1235">
        <v>1317236</v>
      </c>
      <c r="AW223" s="1235">
        <v>1767832</v>
      </c>
      <c r="AX223" s="1235">
        <v>1744393</v>
      </c>
      <c r="AY223" s="1027">
        <f t="shared" si="389"/>
        <v>0.27057378755447348</v>
      </c>
      <c r="AZ223" s="1050">
        <v>130000000</v>
      </c>
      <c r="BA223" s="1000">
        <f t="shared" si="404"/>
        <v>99284215</v>
      </c>
      <c r="BB223" s="973">
        <f t="shared" si="405"/>
        <v>0.76372473076923075</v>
      </c>
      <c r="BC223" s="1029">
        <f t="shared" si="406"/>
        <v>71478984</v>
      </c>
      <c r="BD223" s="973">
        <f t="shared" si="407"/>
        <v>0.54983833846153851</v>
      </c>
      <c r="BE223" s="1030"/>
      <c r="BF223" s="1030"/>
      <c r="BG223" s="953" t="s">
        <v>1703</v>
      </c>
      <c r="BH223" s="1370"/>
    </row>
    <row r="224" spans="1:61" s="908" customFormat="1" ht="47.4" customHeight="1">
      <c r="A224" s="1231" t="s">
        <v>2566</v>
      </c>
      <c r="B224" s="1232" t="s">
        <v>2567</v>
      </c>
      <c r="C224" s="1232" t="s">
        <v>2108</v>
      </c>
      <c r="D224" s="1033">
        <v>1</v>
      </c>
      <c r="E224" s="1033">
        <v>1</v>
      </c>
      <c r="F224" s="1033">
        <v>1</v>
      </c>
      <c r="G224" s="1033">
        <v>1</v>
      </c>
      <c r="H224" s="949">
        <v>1</v>
      </c>
      <c r="I224" s="949">
        <v>1</v>
      </c>
      <c r="J224" s="981">
        <v>1</v>
      </c>
      <c r="K224" s="981">
        <v>1</v>
      </c>
      <c r="L224" s="949"/>
      <c r="M224" s="949"/>
      <c r="N224" s="949"/>
      <c r="O224" s="973">
        <f t="shared" si="432"/>
        <v>1</v>
      </c>
      <c r="P224" s="973">
        <f t="shared" si="432"/>
        <v>1</v>
      </c>
      <c r="Q224" s="973">
        <f t="shared" si="432"/>
        <v>1</v>
      </c>
      <c r="R224" s="951">
        <f t="shared" si="433"/>
        <v>1</v>
      </c>
      <c r="S224" s="1198" t="s">
        <v>2568</v>
      </c>
      <c r="T224" s="974">
        <v>45107</v>
      </c>
      <c r="U224" s="985"/>
      <c r="V224" s="985"/>
      <c r="W224" s="952"/>
      <c r="X224" s="976"/>
      <c r="Y224" s="1233">
        <f t="shared" si="434"/>
        <v>4</v>
      </c>
      <c r="Z224" s="956">
        <f t="shared" si="435"/>
        <v>4</v>
      </c>
      <c r="AA224" s="1026">
        <f t="shared" si="436"/>
        <v>1</v>
      </c>
      <c r="AB224" s="1234">
        <v>0.15</v>
      </c>
      <c r="AC224" s="1234">
        <v>0.18</v>
      </c>
      <c r="AD224" s="1234">
        <v>0.15</v>
      </c>
      <c r="AE224" s="951">
        <f>+AD224*1.11111111111111</f>
        <v>0.16666666666666649</v>
      </c>
      <c r="AF224" s="1234">
        <v>0.15</v>
      </c>
      <c r="AG224" s="1235">
        <v>125000000</v>
      </c>
      <c r="AH224" s="1235">
        <v>14500000</v>
      </c>
      <c r="AI224" s="1235">
        <v>32646960</v>
      </c>
      <c r="AJ224" s="1235">
        <v>124756379</v>
      </c>
      <c r="AK224" s="1235">
        <v>124772365</v>
      </c>
      <c r="AL224" s="1025">
        <f t="shared" si="401"/>
        <v>0.99817891999999997</v>
      </c>
      <c r="AM224" s="1235">
        <v>14500000</v>
      </c>
      <c r="AN224" s="1235">
        <v>27461821</v>
      </c>
      <c r="AO224" s="1235">
        <v>120732647</v>
      </c>
      <c r="AP224" s="1235">
        <v>17113370</v>
      </c>
      <c r="AQ224" s="1026">
        <f t="shared" si="402"/>
        <v>0.13690695999999999</v>
      </c>
      <c r="AR224" s="958">
        <f t="shared" si="437"/>
        <v>4023732</v>
      </c>
      <c r="AS224" s="1235">
        <v>0</v>
      </c>
      <c r="AT224" s="1235">
        <v>0</v>
      </c>
      <c r="AU224" s="1235">
        <v>5185139</v>
      </c>
      <c r="AV224" s="1235">
        <v>4390791</v>
      </c>
      <c r="AW224" s="1235">
        <v>4023732</v>
      </c>
      <c r="AX224" s="1235">
        <v>3836645</v>
      </c>
      <c r="AY224" s="1027">
        <f t="shared" si="389"/>
        <v>0.14668720481383948</v>
      </c>
      <c r="AZ224" s="1071">
        <v>580000000</v>
      </c>
      <c r="BA224" s="1000">
        <f t="shared" si="404"/>
        <v>296675704</v>
      </c>
      <c r="BB224" s="973">
        <f t="shared" si="405"/>
        <v>0.51150983448275866</v>
      </c>
      <c r="BC224" s="1029">
        <f t="shared" si="406"/>
        <v>188035274</v>
      </c>
      <c r="BD224" s="973">
        <f t="shared" si="407"/>
        <v>0.32419874827586209</v>
      </c>
      <c r="BE224" s="1030"/>
      <c r="BF224" s="1030"/>
      <c r="BG224" s="953" t="s">
        <v>1703</v>
      </c>
      <c r="BH224" s="1370"/>
    </row>
    <row r="225" spans="1:60" s="908" customFormat="1" ht="47.4" customHeight="1">
      <c r="A225" s="1231" t="s">
        <v>2569</v>
      </c>
      <c r="B225" s="1232" t="s">
        <v>2570</v>
      </c>
      <c r="C225" s="1232" t="s">
        <v>2108</v>
      </c>
      <c r="D225" s="1033">
        <v>0</v>
      </c>
      <c r="E225" s="1033">
        <v>1</v>
      </c>
      <c r="F225" s="1033">
        <v>0</v>
      </c>
      <c r="G225" s="1033">
        <v>1</v>
      </c>
      <c r="H225" s="949">
        <v>0</v>
      </c>
      <c r="I225" s="949">
        <v>1</v>
      </c>
      <c r="J225" s="949">
        <v>0</v>
      </c>
      <c r="K225" s="981">
        <v>1</v>
      </c>
      <c r="L225" s="949"/>
      <c r="M225" s="949"/>
      <c r="N225" s="949"/>
      <c r="O225" s="973">
        <f t="shared" si="432"/>
        <v>0</v>
      </c>
      <c r="P225" s="973">
        <f t="shared" si="432"/>
        <v>1</v>
      </c>
      <c r="Q225" s="951">
        <f t="shared" si="432"/>
        <v>0</v>
      </c>
      <c r="R225" s="951">
        <f t="shared" si="433"/>
        <v>1</v>
      </c>
      <c r="S225" s="1198" t="s">
        <v>2571</v>
      </c>
      <c r="T225" s="974">
        <v>45107</v>
      </c>
      <c r="U225" s="984"/>
      <c r="V225" s="985"/>
      <c r="W225" s="952"/>
      <c r="X225" s="975"/>
      <c r="Y225" s="1233">
        <f t="shared" si="434"/>
        <v>2</v>
      </c>
      <c r="Z225" s="956">
        <f t="shared" si="435"/>
        <v>2</v>
      </c>
      <c r="AA225" s="1026">
        <f t="shared" si="436"/>
        <v>1</v>
      </c>
      <c r="AB225" s="1234">
        <v>0.1</v>
      </c>
      <c r="AC225" s="1234">
        <v>0</v>
      </c>
      <c r="AD225" s="1234">
        <v>0.1</v>
      </c>
      <c r="AE225" s="951">
        <v>0</v>
      </c>
      <c r="AF225" s="1234">
        <v>0.1</v>
      </c>
      <c r="AG225" s="1235">
        <v>40000000</v>
      </c>
      <c r="AH225" s="1235">
        <v>0</v>
      </c>
      <c r="AI225" s="1235">
        <v>1500000</v>
      </c>
      <c r="AJ225" s="1235">
        <v>0</v>
      </c>
      <c r="AK225" s="1235">
        <v>40000000</v>
      </c>
      <c r="AL225" s="1025">
        <f t="shared" si="401"/>
        <v>1</v>
      </c>
      <c r="AM225" s="1235">
        <v>0</v>
      </c>
      <c r="AN225" s="1235">
        <v>489273</v>
      </c>
      <c r="AO225" s="1235">
        <v>0</v>
      </c>
      <c r="AP225" s="1235">
        <v>29662195</v>
      </c>
      <c r="AQ225" s="1026">
        <f t="shared" si="402"/>
        <v>0.74155487499999995</v>
      </c>
      <c r="AR225" s="958">
        <f t="shared" si="437"/>
        <v>0</v>
      </c>
      <c r="AS225" s="1235">
        <v>0</v>
      </c>
      <c r="AT225" s="1235">
        <v>0</v>
      </c>
      <c r="AU225" s="1235">
        <v>1010727</v>
      </c>
      <c r="AV225" s="1235">
        <v>998728</v>
      </c>
      <c r="AW225" s="1235"/>
      <c r="AX225" s="1235"/>
      <c r="AY225" s="1027" t="e">
        <f t="shared" si="389"/>
        <v>#DIV/0!</v>
      </c>
      <c r="AZ225" s="1071">
        <v>55000000</v>
      </c>
      <c r="BA225" s="1000">
        <f t="shared" si="404"/>
        <v>41500000</v>
      </c>
      <c r="BB225" s="973">
        <f t="shared" si="405"/>
        <v>0.75454545454545452</v>
      </c>
      <c r="BC225" s="1029">
        <f t="shared" si="406"/>
        <v>31150196</v>
      </c>
      <c r="BD225" s="973">
        <f t="shared" si="407"/>
        <v>0.56636719999999996</v>
      </c>
      <c r="BE225" s="1030"/>
      <c r="BF225" s="1030"/>
      <c r="BG225" s="953" t="s">
        <v>1703</v>
      </c>
      <c r="BH225" s="1370"/>
    </row>
    <row r="226" spans="1:60" s="908" customFormat="1" ht="47.4" customHeight="1">
      <c r="A226" s="1231" t="s">
        <v>2572</v>
      </c>
      <c r="B226" s="1232" t="s">
        <v>2573</v>
      </c>
      <c r="C226" s="1232" t="s">
        <v>2108</v>
      </c>
      <c r="D226" s="1033">
        <v>1</v>
      </c>
      <c r="E226" s="1033">
        <v>1</v>
      </c>
      <c r="F226" s="1033">
        <v>1</v>
      </c>
      <c r="G226" s="1033">
        <v>1</v>
      </c>
      <c r="H226" s="949">
        <v>1</v>
      </c>
      <c r="I226" s="949">
        <v>1</v>
      </c>
      <c r="J226" s="981">
        <v>1</v>
      </c>
      <c r="K226" s="981">
        <v>1</v>
      </c>
      <c r="L226" s="949"/>
      <c r="M226" s="949"/>
      <c r="N226" s="949"/>
      <c r="O226" s="973">
        <f t="shared" si="432"/>
        <v>1</v>
      </c>
      <c r="P226" s="973">
        <f t="shared" si="432"/>
        <v>1</v>
      </c>
      <c r="Q226" s="973">
        <f t="shared" si="432"/>
        <v>1</v>
      </c>
      <c r="R226" s="951">
        <f t="shared" si="433"/>
        <v>1</v>
      </c>
      <c r="S226" s="908" t="s">
        <v>2574</v>
      </c>
      <c r="T226" s="974">
        <v>45107</v>
      </c>
      <c r="U226" s="985"/>
      <c r="V226" s="985"/>
      <c r="W226" s="952"/>
      <c r="X226" s="975"/>
      <c r="Y226" s="1233">
        <f t="shared" si="434"/>
        <v>4</v>
      </c>
      <c r="Z226" s="956">
        <f t="shared" si="435"/>
        <v>4</v>
      </c>
      <c r="AA226" s="1026">
        <f t="shared" si="436"/>
        <v>1</v>
      </c>
      <c r="AB226" s="1234">
        <v>0.1</v>
      </c>
      <c r="AC226" s="1234">
        <v>0.12</v>
      </c>
      <c r="AD226" s="1234">
        <v>0.1</v>
      </c>
      <c r="AE226" s="951">
        <f>+AD226*1.11111111111111</f>
        <v>0.11111111111111101</v>
      </c>
      <c r="AF226" s="1234">
        <v>0.1</v>
      </c>
      <c r="AG226" s="1235">
        <v>20000000</v>
      </c>
      <c r="AH226" s="1235">
        <v>0</v>
      </c>
      <c r="AI226" s="1235">
        <v>900000</v>
      </c>
      <c r="AJ226" s="1235">
        <v>19989771</v>
      </c>
      <c r="AK226" s="1235">
        <v>20000000</v>
      </c>
      <c r="AL226" s="1025">
        <f t="shared" si="401"/>
        <v>1</v>
      </c>
      <c r="AM226" s="1235">
        <v>0</v>
      </c>
      <c r="AN226" s="1235">
        <v>293564</v>
      </c>
      <c r="AO226" s="1235">
        <v>19679299</v>
      </c>
      <c r="AP226" s="1235">
        <v>19553703</v>
      </c>
      <c r="AQ226" s="1026">
        <f t="shared" si="402"/>
        <v>0.97768515</v>
      </c>
      <c r="AR226" s="958">
        <f t="shared" si="437"/>
        <v>310472</v>
      </c>
      <c r="AS226" s="1235">
        <v>0</v>
      </c>
      <c r="AT226" s="1235">
        <v>0</v>
      </c>
      <c r="AU226" s="1235">
        <v>606436</v>
      </c>
      <c r="AV226" s="1235">
        <v>599237</v>
      </c>
      <c r="AW226" s="1235">
        <v>310472</v>
      </c>
      <c r="AX226" s="1235">
        <v>295116</v>
      </c>
      <c r="AY226" s="1027">
        <f t="shared" si="389"/>
        <v>12.357458965703831</v>
      </c>
      <c r="AZ226" s="1071">
        <v>69000000</v>
      </c>
      <c r="BA226" s="1000">
        <f t="shared" si="404"/>
        <v>40889771</v>
      </c>
      <c r="BB226" s="973">
        <f t="shared" si="405"/>
        <v>0.5926053768115942</v>
      </c>
      <c r="BC226" s="1029">
        <f t="shared" si="406"/>
        <v>40420919</v>
      </c>
      <c r="BD226" s="973">
        <f t="shared" si="407"/>
        <v>0.58581042028985508</v>
      </c>
      <c r="BE226" s="1030"/>
      <c r="BF226" s="1030"/>
      <c r="BG226" s="953" t="s">
        <v>1703</v>
      </c>
      <c r="BH226" s="1236" t="s">
        <v>2555</v>
      </c>
    </row>
    <row r="227" spans="1:60" s="908" customFormat="1" ht="47.4" customHeight="1">
      <c r="A227" s="936" t="s">
        <v>2575</v>
      </c>
      <c r="B227" s="937"/>
      <c r="C227" s="937"/>
      <c r="D227" s="938"/>
      <c r="E227" s="938"/>
      <c r="F227" s="938"/>
      <c r="G227" s="938"/>
      <c r="H227" s="938"/>
      <c r="I227" s="938"/>
      <c r="J227" s="938"/>
      <c r="K227" s="938"/>
      <c r="L227" s="938"/>
      <c r="M227" s="938"/>
      <c r="N227" s="938"/>
      <c r="O227" s="939">
        <f>+SUMPRODUCT(O228:O228,AC228:AC228)</f>
        <v>1</v>
      </c>
      <c r="P227" s="939">
        <f t="shared" ref="P227:R227" si="438">+SUMPRODUCT(P228:P228,AD228:AD228)</f>
        <v>1</v>
      </c>
      <c r="Q227" s="939">
        <f t="shared" si="438"/>
        <v>1</v>
      </c>
      <c r="R227" s="939">
        <f t="shared" si="438"/>
        <v>1</v>
      </c>
      <c r="S227" s="1178"/>
      <c r="T227" s="1178"/>
      <c r="U227" s="937"/>
      <c r="V227" s="937"/>
      <c r="W227" s="937"/>
      <c r="X227" s="1178"/>
      <c r="Y227" s="1102"/>
      <c r="Z227" s="940"/>
      <c r="AA227" s="939">
        <f>+SUMPRODUCT(AA228:AA228,AB228:AB228)</f>
        <v>1</v>
      </c>
      <c r="AB227" s="939">
        <v>0.2</v>
      </c>
      <c r="AC227" s="939">
        <v>0.2</v>
      </c>
      <c r="AD227" s="939">
        <v>0.2</v>
      </c>
      <c r="AE227" s="939">
        <v>0.2</v>
      </c>
      <c r="AF227" s="939">
        <v>0.2</v>
      </c>
      <c r="AG227" s="937">
        <f>SUM(AG228)</f>
        <v>70000000</v>
      </c>
      <c r="AH227" s="937">
        <f>SUM(AH228)</f>
        <v>51000000</v>
      </c>
      <c r="AI227" s="937">
        <f>SUM(AI228)</f>
        <v>43976413</v>
      </c>
      <c r="AJ227" s="937">
        <f>SUM(AJ228)</f>
        <v>49974158</v>
      </c>
      <c r="AK227" s="937">
        <f>SUM(AK228)</f>
        <v>70000000</v>
      </c>
      <c r="AL227" s="943">
        <f t="shared" si="401"/>
        <v>1</v>
      </c>
      <c r="AM227" s="937">
        <f>SUM(AM228)</f>
        <v>18000000</v>
      </c>
      <c r="AN227" s="937">
        <f>SUM(AN228)</f>
        <v>41985317</v>
      </c>
      <c r="AO227" s="937">
        <f>SUM(AO228)</f>
        <v>48499695</v>
      </c>
      <c r="AP227" s="937">
        <f>SUM(AP228)</f>
        <v>68437962</v>
      </c>
      <c r="AQ227" s="944">
        <f t="shared" si="402"/>
        <v>0.97768517142857148</v>
      </c>
      <c r="AR227" s="945">
        <f t="shared" ref="AR227:AX227" si="439">SUM(AR228)</f>
        <v>1474463</v>
      </c>
      <c r="AS227" s="937">
        <f t="shared" si="439"/>
        <v>33000000</v>
      </c>
      <c r="AT227" s="937">
        <f t="shared" si="439"/>
        <v>33000000</v>
      </c>
      <c r="AU227" s="937">
        <f t="shared" si="439"/>
        <v>1991096</v>
      </c>
      <c r="AV227" s="937">
        <f t="shared" si="439"/>
        <v>1656627</v>
      </c>
      <c r="AW227" s="937">
        <f t="shared" si="439"/>
        <v>1474463</v>
      </c>
      <c r="AX227" s="937">
        <f t="shared" si="439"/>
        <v>787947</v>
      </c>
      <c r="AY227" s="946">
        <f t="shared" si="389"/>
        <v>0</v>
      </c>
      <c r="AZ227" s="937">
        <f t="shared" ref="AZ227" si="440">SUM(AZ228)</f>
        <v>245000000</v>
      </c>
      <c r="BA227" s="937">
        <f t="shared" si="404"/>
        <v>214950571</v>
      </c>
      <c r="BB227" s="939">
        <f t="shared" si="405"/>
        <v>0.87734926938775515</v>
      </c>
      <c r="BC227" s="1005">
        <f t="shared" si="406"/>
        <v>212367548</v>
      </c>
      <c r="BD227" s="939">
        <f t="shared" si="407"/>
        <v>0.8668063183673469</v>
      </c>
      <c r="BE227" s="945"/>
      <c r="BF227" s="945"/>
      <c r="BG227" s="945"/>
      <c r="BH227" s="945"/>
    </row>
    <row r="228" spans="1:60" s="908" customFormat="1" ht="47.4" customHeight="1">
      <c r="A228" s="1243" t="s">
        <v>2576</v>
      </c>
      <c r="B228" s="1244" t="s">
        <v>2577</v>
      </c>
      <c r="C228" s="1232" t="s">
        <v>2108</v>
      </c>
      <c r="D228" s="1033">
        <v>1</v>
      </c>
      <c r="E228" s="1033">
        <v>1</v>
      </c>
      <c r="F228" s="1033">
        <v>1</v>
      </c>
      <c r="G228" s="1033">
        <v>1</v>
      </c>
      <c r="H228" s="949">
        <v>1</v>
      </c>
      <c r="I228" s="949">
        <v>1</v>
      </c>
      <c r="J228" s="949">
        <v>1</v>
      </c>
      <c r="K228" s="981">
        <v>1</v>
      </c>
      <c r="L228" s="949"/>
      <c r="M228" s="949"/>
      <c r="N228" s="949"/>
      <c r="O228" s="951">
        <f>+IFERROR(IF((H228+L228)/D228&gt;=100%,100%,(H228+L228)/D228),0)</f>
        <v>1</v>
      </c>
      <c r="P228" s="973">
        <f>+IFERROR(IF((I228+M228)/E228&gt;=100%,100%,(I228+M228)/E228),0)</f>
        <v>1</v>
      </c>
      <c r="Q228" s="973">
        <f>+IFERROR(IF((J228+N228)/F228&gt;=100%,100%,(J228+N228)/F228),0)</f>
        <v>1</v>
      </c>
      <c r="R228" s="951">
        <f>+IFERROR(IF(K228/G228&gt;=100%,100%,K228/G228),0)</f>
        <v>1</v>
      </c>
      <c r="S228" s="908" t="s">
        <v>2578</v>
      </c>
      <c r="T228" s="974">
        <v>45107</v>
      </c>
      <c r="U228" s="985" t="s">
        <v>2115</v>
      </c>
      <c r="V228" s="985"/>
      <c r="W228" s="952" t="s">
        <v>2116</v>
      </c>
      <c r="X228" s="976">
        <v>240</v>
      </c>
      <c r="Y228" s="1233">
        <f t="shared" ref="Y228" si="441">SUM(D228:G228)</f>
        <v>4</v>
      </c>
      <c r="Z228" s="956">
        <f t="shared" ref="Z228" si="442">SUM(H228:N228)</f>
        <v>4</v>
      </c>
      <c r="AA228" s="971">
        <f t="shared" ref="AA228" si="443">IF(Z228/Y228&gt;=100%,100%,Z228/Y228)</f>
        <v>1</v>
      </c>
      <c r="AB228" s="1099">
        <v>1</v>
      </c>
      <c r="AC228" s="1099">
        <v>1</v>
      </c>
      <c r="AD228" s="951">
        <v>1</v>
      </c>
      <c r="AE228" s="951">
        <v>1</v>
      </c>
      <c r="AF228" s="951">
        <v>1</v>
      </c>
      <c r="AG228" s="1245">
        <v>70000000</v>
      </c>
      <c r="AH228" s="1245">
        <v>51000000</v>
      </c>
      <c r="AI228" s="1245">
        <v>43976413</v>
      </c>
      <c r="AJ228" s="1245">
        <v>49974158</v>
      </c>
      <c r="AK228" s="1245">
        <v>70000000</v>
      </c>
      <c r="AL228" s="959">
        <f t="shared" si="401"/>
        <v>1</v>
      </c>
      <c r="AM228" s="1245">
        <v>18000000</v>
      </c>
      <c r="AN228" s="1245">
        <v>41985317</v>
      </c>
      <c r="AO228" s="1245">
        <v>48499695</v>
      </c>
      <c r="AP228" s="1245">
        <v>68437962</v>
      </c>
      <c r="AQ228" s="971">
        <f t="shared" si="402"/>
        <v>0.97768517142857148</v>
      </c>
      <c r="AR228" s="958">
        <f>+AJ228-AO228</f>
        <v>1474463</v>
      </c>
      <c r="AS228" s="1245">
        <v>33000000</v>
      </c>
      <c r="AT228" s="1245">
        <v>33000000</v>
      </c>
      <c r="AU228" s="1245">
        <v>1991096</v>
      </c>
      <c r="AV228" s="1245">
        <v>1656627</v>
      </c>
      <c r="AW228" s="1245">
        <v>1474463</v>
      </c>
      <c r="AX228" s="1245">
        <v>787947</v>
      </c>
      <c r="AY228" s="999">
        <f t="shared" si="389"/>
        <v>0.20015151278804555</v>
      </c>
      <c r="AZ228" s="1084">
        <v>245000000</v>
      </c>
      <c r="BA228" s="1000">
        <f t="shared" si="404"/>
        <v>214950571</v>
      </c>
      <c r="BB228" s="973">
        <f t="shared" si="405"/>
        <v>0.87734926938775515</v>
      </c>
      <c r="BC228" s="1029">
        <f t="shared" si="406"/>
        <v>212367548</v>
      </c>
      <c r="BD228" s="973">
        <f t="shared" si="407"/>
        <v>0.8668063183673469</v>
      </c>
      <c r="BE228" s="969"/>
      <c r="BF228" s="969"/>
      <c r="BG228" s="953" t="s">
        <v>1703</v>
      </c>
      <c r="BH228" s="1246" t="s">
        <v>2555</v>
      </c>
    </row>
    <row r="229" spans="1:60" s="908" customFormat="1" ht="47.4" customHeight="1">
      <c r="A229" s="925" t="s">
        <v>2579</v>
      </c>
      <c r="B229" s="926"/>
      <c r="C229" s="926"/>
      <c r="D229" s="927"/>
      <c r="E229" s="927"/>
      <c r="F229" s="927"/>
      <c r="G229" s="927"/>
      <c r="H229" s="927"/>
      <c r="I229" s="927"/>
      <c r="J229" s="927"/>
      <c r="K229" s="927"/>
      <c r="L229" s="927"/>
      <c r="M229" s="927"/>
      <c r="N229" s="927"/>
      <c r="O229" s="928">
        <f>+(O230*AC230)+(O234*AC234)</f>
        <v>1</v>
      </c>
      <c r="P229" s="928">
        <f t="shared" ref="P229:R229" si="444">+(P230*AD230)+(P234*AD234)</f>
        <v>0.96399999999999997</v>
      </c>
      <c r="Q229" s="928">
        <f t="shared" si="444"/>
        <v>1</v>
      </c>
      <c r="R229" s="928">
        <f t="shared" si="444"/>
        <v>1</v>
      </c>
      <c r="S229" s="1176"/>
      <c r="T229" s="1176"/>
      <c r="U229" s="926"/>
      <c r="V229" s="926"/>
      <c r="W229" s="926"/>
      <c r="X229" s="1176"/>
      <c r="Y229" s="1177"/>
      <c r="Z229" s="929"/>
      <c r="AA229" s="928">
        <f>+(AA230*AB230)+(AA234*AB234)</f>
        <v>0.9910000000000001</v>
      </c>
      <c r="AB229" s="928">
        <v>0.1</v>
      </c>
      <c r="AC229" s="928">
        <v>0.1</v>
      </c>
      <c r="AD229" s="928">
        <v>0.1</v>
      </c>
      <c r="AE229" s="928">
        <v>0.1</v>
      </c>
      <c r="AF229" s="928">
        <v>0.1</v>
      </c>
      <c r="AG229" s="926">
        <f>+AG230+AG234</f>
        <v>900000000</v>
      </c>
      <c r="AH229" s="926">
        <f>+AH230+AH234</f>
        <v>1216381367</v>
      </c>
      <c r="AI229" s="926">
        <f>+AI230+AI234</f>
        <v>1068130934</v>
      </c>
      <c r="AJ229" s="926">
        <f>+AJ230+AJ234</f>
        <v>909529462</v>
      </c>
      <c r="AK229" s="926">
        <f>+AK230+AK234</f>
        <v>899187545</v>
      </c>
      <c r="AL229" s="931">
        <f t="shared" si="401"/>
        <v>0.99909727222222222</v>
      </c>
      <c r="AM229" s="926">
        <f>+AM230+AM234</f>
        <v>62000000</v>
      </c>
      <c r="AN229" s="926">
        <f>+AN230+AN234</f>
        <v>924899955</v>
      </c>
      <c r="AO229" s="926">
        <f>+AO230+AO234</f>
        <v>753471385</v>
      </c>
      <c r="AP229" s="926">
        <f>+AP230+AP234</f>
        <v>834726012</v>
      </c>
      <c r="AQ229" s="933">
        <f t="shared" si="402"/>
        <v>0.9274733466666667</v>
      </c>
      <c r="AR229" s="926">
        <f t="shared" ref="AR229:AX229" si="445">+AR230+AR234</f>
        <v>156058077</v>
      </c>
      <c r="AS229" s="926">
        <f t="shared" si="445"/>
        <v>1154381367</v>
      </c>
      <c r="AT229" s="926">
        <f t="shared" si="445"/>
        <v>1144381367</v>
      </c>
      <c r="AU229" s="926">
        <f t="shared" si="445"/>
        <v>143230979</v>
      </c>
      <c r="AV229" s="926">
        <f t="shared" si="445"/>
        <v>127668256</v>
      </c>
      <c r="AW229" s="926">
        <f t="shared" si="445"/>
        <v>156058077</v>
      </c>
      <c r="AX229" s="926">
        <f t="shared" si="445"/>
        <v>153801281</v>
      </c>
      <c r="AY229" s="1111">
        <f t="shared" si="389"/>
        <v>5.0490625999447631E-3</v>
      </c>
      <c r="AZ229" s="926">
        <f t="shared" ref="AZ229" si="446">+AZ230+AZ234</f>
        <v>4444891449</v>
      </c>
      <c r="BA229" s="926">
        <f t="shared" si="404"/>
        <v>4093229308</v>
      </c>
      <c r="BB229" s="1087">
        <f t="shared" si="405"/>
        <v>0.92088397545026301</v>
      </c>
      <c r="BC229" s="1088">
        <f t="shared" si="406"/>
        <v>4000948256</v>
      </c>
      <c r="BD229" s="1087">
        <f t="shared" si="407"/>
        <v>0.9001228268240663</v>
      </c>
      <c r="BE229" s="926"/>
      <c r="BF229" s="926" t="s">
        <v>1702</v>
      </c>
      <c r="BG229" s="926"/>
      <c r="BH229" s="926"/>
    </row>
    <row r="230" spans="1:60" s="908" customFormat="1" ht="47.25" hidden="1" customHeight="1">
      <c r="A230" s="936" t="s">
        <v>2580</v>
      </c>
      <c r="B230" s="937"/>
      <c r="C230" s="937"/>
      <c r="D230" s="938"/>
      <c r="E230" s="938"/>
      <c r="F230" s="938"/>
      <c r="G230" s="938"/>
      <c r="H230" s="938"/>
      <c r="I230" s="938"/>
      <c r="J230" s="938"/>
      <c r="K230" s="938"/>
      <c r="L230" s="938"/>
      <c r="M230" s="938"/>
      <c r="N230" s="938"/>
      <c r="O230" s="939">
        <f>+SUMPRODUCT(O231:O233,AC231:AC233)</f>
        <v>0</v>
      </c>
      <c r="P230" s="939">
        <f t="shared" ref="P230:R230" si="447">+SUMPRODUCT(P231:P233,AD231:AD233)</f>
        <v>1</v>
      </c>
      <c r="Q230" s="939">
        <f t="shared" si="447"/>
        <v>1</v>
      </c>
      <c r="R230" s="939">
        <f t="shared" si="447"/>
        <v>1</v>
      </c>
      <c r="S230" s="1178"/>
      <c r="T230" s="1178"/>
      <c r="U230" s="937"/>
      <c r="V230" s="937"/>
      <c r="W230" s="937"/>
      <c r="X230" s="1178"/>
      <c r="Y230" s="1102"/>
      <c r="Z230" s="940"/>
      <c r="AA230" s="939">
        <f>+SUMPRODUCT(AA231:AA233,AB231:AB233)</f>
        <v>1</v>
      </c>
      <c r="AB230" s="939">
        <v>0.2</v>
      </c>
      <c r="AC230" s="939">
        <v>0</v>
      </c>
      <c r="AD230" s="939">
        <v>0.2</v>
      </c>
      <c r="AE230" s="939">
        <v>0.2</v>
      </c>
      <c r="AF230" s="939">
        <v>0.15</v>
      </c>
      <c r="AG230" s="937">
        <f>SUM(AG231:AG233)</f>
        <v>112500000</v>
      </c>
      <c r="AH230" s="937">
        <f>SUM(AH231:AH233)</f>
        <v>0</v>
      </c>
      <c r="AI230" s="937">
        <f>SUM(AI231:AI233)</f>
        <v>12626203</v>
      </c>
      <c r="AJ230" s="937">
        <f>SUM(AJ231:AJ233)</f>
        <v>122436472</v>
      </c>
      <c r="AK230" s="937">
        <f>SUM(AK231:AK233)</f>
        <v>112337184</v>
      </c>
      <c r="AL230" s="943">
        <f t="shared" si="401"/>
        <v>0.99855274666666671</v>
      </c>
      <c r="AM230" s="937">
        <f>SUM(AM231:AM233)</f>
        <v>0</v>
      </c>
      <c r="AN230" s="937">
        <f>SUM(AN231:AN233)</f>
        <v>4098282</v>
      </c>
      <c r="AO230" s="937">
        <f>SUM(AO231:AO233)</f>
        <v>22934513</v>
      </c>
      <c r="AP230" s="937">
        <f>SUM(AP231:AP233)</f>
        <v>98965594</v>
      </c>
      <c r="AQ230" s="944">
        <f t="shared" si="402"/>
        <v>0.87969416888888885</v>
      </c>
      <c r="AR230" s="945">
        <f t="shared" ref="AR230:AX230" si="448">SUM(AR231:AR233)</f>
        <v>99501959</v>
      </c>
      <c r="AS230" s="937">
        <f t="shared" si="448"/>
        <v>0</v>
      </c>
      <c r="AT230" s="937">
        <f t="shared" si="448"/>
        <v>0</v>
      </c>
      <c r="AU230" s="937">
        <f t="shared" si="448"/>
        <v>8527921</v>
      </c>
      <c r="AV230" s="937">
        <f t="shared" si="448"/>
        <v>7252920</v>
      </c>
      <c r="AW230" s="937">
        <f t="shared" si="448"/>
        <v>99501959</v>
      </c>
      <c r="AX230" s="937">
        <f t="shared" si="448"/>
        <v>97647924</v>
      </c>
      <c r="AY230" s="946">
        <f t="shared" si="389"/>
        <v>7.9189094156427615E-3</v>
      </c>
      <c r="AZ230" s="937">
        <f t="shared" ref="AZ230" si="449">SUM(AZ231:AZ233)</f>
        <v>457500000</v>
      </c>
      <c r="BA230" s="937">
        <f t="shared" si="404"/>
        <v>247399859</v>
      </c>
      <c r="BB230" s="939">
        <f t="shared" si="405"/>
        <v>0.54076471912568302</v>
      </c>
      <c r="BC230" s="1005">
        <f t="shared" si="406"/>
        <v>230899233</v>
      </c>
      <c r="BD230" s="939">
        <f t="shared" si="407"/>
        <v>0.50469777704918029</v>
      </c>
      <c r="BE230" s="945"/>
      <c r="BF230" s="945"/>
      <c r="BG230" s="945"/>
      <c r="BH230" s="945"/>
    </row>
    <row r="231" spans="1:60" s="908" customFormat="1" ht="75" hidden="1" customHeight="1">
      <c r="A231" s="1231" t="s">
        <v>2581</v>
      </c>
      <c r="B231" s="1232" t="s">
        <v>2582</v>
      </c>
      <c r="C231" s="1232" t="s">
        <v>2108</v>
      </c>
      <c r="D231" s="1247">
        <v>0</v>
      </c>
      <c r="E231" s="1247">
        <v>1</v>
      </c>
      <c r="F231" s="1247">
        <v>0</v>
      </c>
      <c r="G231" s="1247">
        <v>0</v>
      </c>
      <c r="H231" s="1247">
        <v>0</v>
      </c>
      <c r="I231" s="950">
        <v>1</v>
      </c>
      <c r="J231" s="949"/>
      <c r="K231" s="949"/>
      <c r="L231" s="950"/>
      <c r="M231" s="950"/>
      <c r="N231" s="950"/>
      <c r="O231" s="973">
        <f t="shared" ref="O231:Q233" si="450">+IFERROR(IF((H231+L231)/D231&gt;=100%,100%,(H231+L231)/D231),0)</f>
        <v>0</v>
      </c>
      <c r="P231" s="973">
        <f t="shared" si="450"/>
        <v>1</v>
      </c>
      <c r="Q231" s="951">
        <f t="shared" si="450"/>
        <v>0</v>
      </c>
      <c r="R231" s="951">
        <f t="shared" ref="R231:R233" si="451">+IFERROR(IF(K231/G231&gt;=100%,100%,K231/G231),0)</f>
        <v>0</v>
      </c>
      <c r="S231" s="1198"/>
      <c r="T231" s="1198"/>
      <c r="U231" s="984"/>
      <c r="V231" s="985"/>
      <c r="W231" s="952"/>
      <c r="X231" s="1198"/>
      <c r="Y231" s="985">
        <f t="shared" ref="Y231:Y233" si="452">SUM(D231:G231)</f>
        <v>1</v>
      </c>
      <c r="Z231" s="956">
        <f t="shared" ref="Z231:Z233" si="453">SUM(H231:N231)</f>
        <v>1</v>
      </c>
      <c r="AA231" s="1026">
        <f t="shared" ref="AA231:AA233" si="454">IF(Z231/Y231&gt;=100%,100%,Z231/Y231)</f>
        <v>1</v>
      </c>
      <c r="AB231" s="1234">
        <v>0.4</v>
      </c>
      <c r="AC231" s="1248">
        <v>0</v>
      </c>
      <c r="AD231" s="1234">
        <v>0.4</v>
      </c>
      <c r="AE231" s="951">
        <v>0</v>
      </c>
      <c r="AF231" s="951">
        <v>0</v>
      </c>
      <c r="AG231" s="1240">
        <v>0</v>
      </c>
      <c r="AH231" s="1245">
        <v>0</v>
      </c>
      <c r="AI231" s="1240">
        <v>4156650</v>
      </c>
      <c r="AJ231" s="1240">
        <v>0</v>
      </c>
      <c r="AK231" s="1240"/>
      <c r="AL231" s="1025" t="e">
        <f t="shared" si="401"/>
        <v>#DIV/0!</v>
      </c>
      <c r="AM231" s="1245">
        <v>0</v>
      </c>
      <c r="AN231" s="1240">
        <v>1343991</v>
      </c>
      <c r="AO231" s="1240">
        <v>0</v>
      </c>
      <c r="AP231" s="1240"/>
      <c r="AQ231" s="1026" t="e">
        <f t="shared" si="402"/>
        <v>#DIV/0!</v>
      </c>
      <c r="AR231" s="958">
        <f t="shared" ref="AR231:AR233" si="455">+AJ231-AO231</f>
        <v>0</v>
      </c>
      <c r="AS231" s="1245">
        <v>0</v>
      </c>
      <c r="AT231" s="1245">
        <v>0</v>
      </c>
      <c r="AU231" s="1245">
        <v>2812659</v>
      </c>
      <c r="AV231" s="1245">
        <v>2381660</v>
      </c>
      <c r="AW231" s="1245"/>
      <c r="AX231" s="1245"/>
      <c r="AY231" s="1027" t="e">
        <f t="shared" si="389"/>
        <v>#DIV/0!</v>
      </c>
      <c r="AZ231" s="1071">
        <v>62500000</v>
      </c>
      <c r="BA231" s="1000">
        <f t="shared" si="404"/>
        <v>4156650</v>
      </c>
      <c r="BB231" s="973">
        <f t="shared" si="405"/>
        <v>6.6506399999999993E-2</v>
      </c>
      <c r="BC231" s="1029">
        <f t="shared" si="406"/>
        <v>3725651</v>
      </c>
      <c r="BD231" s="973">
        <f t="shared" si="407"/>
        <v>5.9610415999999999E-2</v>
      </c>
      <c r="BE231" s="1030"/>
      <c r="BF231" s="1030"/>
      <c r="BG231" s="953" t="s">
        <v>1703</v>
      </c>
      <c r="BH231" s="1236" t="s">
        <v>2150</v>
      </c>
    </row>
    <row r="232" spans="1:60" s="908" customFormat="1" ht="47.4" customHeight="1">
      <c r="A232" s="1231" t="s">
        <v>2583</v>
      </c>
      <c r="B232" s="1232" t="s">
        <v>2584</v>
      </c>
      <c r="C232" s="948" t="s">
        <v>1056</v>
      </c>
      <c r="D232" s="1046">
        <v>0</v>
      </c>
      <c r="E232" s="1249">
        <v>1</v>
      </c>
      <c r="F232" s="1249">
        <v>1</v>
      </c>
      <c r="G232" s="1249">
        <v>1</v>
      </c>
      <c r="H232" s="1249">
        <v>0</v>
      </c>
      <c r="I232" s="1249">
        <v>0</v>
      </c>
      <c r="J232" s="1249">
        <v>1</v>
      </c>
      <c r="K232" s="1249">
        <v>1</v>
      </c>
      <c r="L232" s="949"/>
      <c r="M232" s="1250">
        <v>1</v>
      </c>
      <c r="N232" s="949"/>
      <c r="O232" s="973">
        <f t="shared" si="450"/>
        <v>0</v>
      </c>
      <c r="P232" s="973">
        <f t="shared" si="450"/>
        <v>1</v>
      </c>
      <c r="Q232" s="973">
        <f t="shared" si="450"/>
        <v>1</v>
      </c>
      <c r="R232" s="951">
        <f t="shared" si="451"/>
        <v>1</v>
      </c>
      <c r="S232" s="1198" t="s">
        <v>2585</v>
      </c>
      <c r="T232" s="974">
        <v>45107</v>
      </c>
      <c r="U232" s="985"/>
      <c r="V232" s="985"/>
      <c r="W232" s="952"/>
      <c r="X232" s="976"/>
      <c r="Y232" s="973">
        <f t="shared" si="452"/>
        <v>3</v>
      </c>
      <c r="Z232" s="977">
        <f t="shared" si="453"/>
        <v>3</v>
      </c>
      <c r="AA232" s="1026">
        <f t="shared" si="454"/>
        <v>1</v>
      </c>
      <c r="AB232" s="1234">
        <v>0.3</v>
      </c>
      <c r="AC232" s="1248">
        <v>0</v>
      </c>
      <c r="AD232" s="1234">
        <v>0.3</v>
      </c>
      <c r="AE232" s="951">
        <v>0.5</v>
      </c>
      <c r="AF232" s="951">
        <v>0.5</v>
      </c>
      <c r="AG232" s="1240">
        <v>50000000</v>
      </c>
      <c r="AH232" s="1245">
        <v>0</v>
      </c>
      <c r="AI232" s="1240">
        <v>4156650</v>
      </c>
      <c r="AJ232" s="1240">
        <v>59968774</v>
      </c>
      <c r="AK232" s="1240">
        <v>49892815</v>
      </c>
      <c r="AL232" s="1025">
        <f t="shared" si="401"/>
        <v>0.99785630000000003</v>
      </c>
      <c r="AM232" s="1245">
        <v>0</v>
      </c>
      <c r="AN232" s="1240">
        <v>1343991</v>
      </c>
      <c r="AO232" s="1240">
        <v>11408300</v>
      </c>
      <c r="AP232" s="1240">
        <v>44434707</v>
      </c>
      <c r="AQ232" s="1026">
        <f t="shared" si="402"/>
        <v>0.88869414000000002</v>
      </c>
      <c r="AR232" s="958">
        <f t="shared" si="455"/>
        <v>48560474</v>
      </c>
      <c r="AS232" s="1245">
        <v>0</v>
      </c>
      <c r="AT232" s="1245">
        <v>0</v>
      </c>
      <c r="AU232" s="1245">
        <v>2812659</v>
      </c>
      <c r="AV232" s="1245">
        <v>2381660</v>
      </c>
      <c r="AW232" s="1245">
        <v>48560474</v>
      </c>
      <c r="AX232" s="1245">
        <v>47656945</v>
      </c>
      <c r="AY232" s="1027">
        <f t="shared" si="389"/>
        <v>2.0108519533808504</v>
      </c>
      <c r="AZ232" s="1071">
        <v>170000000</v>
      </c>
      <c r="BA232" s="1000">
        <f t="shared" si="404"/>
        <v>114018239</v>
      </c>
      <c r="BB232" s="973">
        <f t="shared" si="405"/>
        <v>0.67069552352941175</v>
      </c>
      <c r="BC232" s="1029">
        <f t="shared" si="406"/>
        <v>107225603</v>
      </c>
      <c r="BD232" s="973">
        <f t="shared" si="407"/>
        <v>0.63073884117647061</v>
      </c>
      <c r="BE232" s="1030"/>
      <c r="BF232" s="1030"/>
      <c r="BG232" s="953" t="s">
        <v>1703</v>
      </c>
      <c r="BH232" s="1236" t="s">
        <v>2150</v>
      </c>
    </row>
    <row r="233" spans="1:60" s="908" customFormat="1" ht="47.4" customHeight="1">
      <c r="A233" s="1231" t="s">
        <v>2586</v>
      </c>
      <c r="B233" s="1232" t="s">
        <v>2587</v>
      </c>
      <c r="C233" s="1232" t="s">
        <v>2108</v>
      </c>
      <c r="D233" s="1046">
        <v>0</v>
      </c>
      <c r="E233" s="1046">
        <v>0.1</v>
      </c>
      <c r="F233" s="1046">
        <v>1</v>
      </c>
      <c r="G233" s="1046">
        <v>1</v>
      </c>
      <c r="H233" s="1046">
        <v>0</v>
      </c>
      <c r="I233" s="1046">
        <v>0.1</v>
      </c>
      <c r="J233" s="949">
        <v>1</v>
      </c>
      <c r="K233" s="949">
        <v>1</v>
      </c>
      <c r="L233" s="949"/>
      <c r="M233" s="949">
        <v>0.1</v>
      </c>
      <c r="N233" s="949"/>
      <c r="O233" s="973">
        <f t="shared" si="450"/>
        <v>0</v>
      </c>
      <c r="P233" s="973">
        <f t="shared" si="450"/>
        <v>1</v>
      </c>
      <c r="Q233" s="973">
        <f t="shared" si="450"/>
        <v>1</v>
      </c>
      <c r="R233" s="951">
        <f t="shared" si="451"/>
        <v>1</v>
      </c>
      <c r="S233" s="1238" t="s">
        <v>2588</v>
      </c>
      <c r="T233" s="974">
        <v>45107</v>
      </c>
      <c r="U233" s="984"/>
      <c r="V233" s="985"/>
      <c r="W233" s="952"/>
      <c r="X233" s="1198"/>
      <c r="Y233" s="985">
        <f t="shared" si="452"/>
        <v>2.1</v>
      </c>
      <c r="Z233" s="956">
        <f t="shared" si="453"/>
        <v>2.2000000000000002</v>
      </c>
      <c r="AA233" s="1026">
        <f t="shared" si="454"/>
        <v>1</v>
      </c>
      <c r="AB233" s="1234">
        <v>0.3</v>
      </c>
      <c r="AC233" s="1248">
        <v>0</v>
      </c>
      <c r="AD233" s="1234">
        <v>0.3</v>
      </c>
      <c r="AE233" s="973">
        <v>0.5</v>
      </c>
      <c r="AF233" s="973">
        <v>0.5</v>
      </c>
      <c r="AG233" s="1245">
        <v>62500000</v>
      </c>
      <c r="AH233" s="1245">
        <v>0</v>
      </c>
      <c r="AI233" s="1240">
        <v>4312903</v>
      </c>
      <c r="AJ233" s="1240">
        <v>62467698</v>
      </c>
      <c r="AK233" s="1240">
        <v>62444369</v>
      </c>
      <c r="AL233" s="1025">
        <f t="shared" si="401"/>
        <v>0.99910990399999999</v>
      </c>
      <c r="AM233" s="1245">
        <v>0</v>
      </c>
      <c r="AN233" s="1240">
        <v>1410300</v>
      </c>
      <c r="AO233" s="1240">
        <v>11526213</v>
      </c>
      <c r="AP233" s="1240">
        <v>54530887</v>
      </c>
      <c r="AQ233" s="1026">
        <f t="shared" si="402"/>
        <v>0.872494192</v>
      </c>
      <c r="AR233" s="958">
        <f t="shared" si="455"/>
        <v>50941485</v>
      </c>
      <c r="AS233" s="1245">
        <v>0</v>
      </c>
      <c r="AT233" s="1245">
        <v>0</v>
      </c>
      <c r="AU233" s="1245">
        <v>2902603</v>
      </c>
      <c r="AV233" s="1245">
        <v>2489600</v>
      </c>
      <c r="AW233" s="1245">
        <v>50941485</v>
      </c>
      <c r="AX233" s="1245">
        <v>49990979</v>
      </c>
      <c r="AY233" s="1027">
        <f t="shared" si="389"/>
        <v>0</v>
      </c>
      <c r="AZ233" s="1071">
        <v>225000000</v>
      </c>
      <c r="BA233" s="1000">
        <f t="shared" si="404"/>
        <v>129224970</v>
      </c>
      <c r="BB233" s="973">
        <f t="shared" si="405"/>
        <v>0.57433319999999999</v>
      </c>
      <c r="BC233" s="1029">
        <f t="shared" si="406"/>
        <v>119947979</v>
      </c>
      <c r="BD233" s="973">
        <f t="shared" si="407"/>
        <v>0.53310212888888886</v>
      </c>
      <c r="BE233" s="1030"/>
      <c r="BF233" s="1030"/>
      <c r="BG233" s="953" t="s">
        <v>1703</v>
      </c>
      <c r="BH233" s="1236" t="s">
        <v>2150</v>
      </c>
    </row>
    <row r="234" spans="1:60" s="908" customFormat="1" ht="47.4" customHeight="1">
      <c r="A234" s="936" t="s">
        <v>2589</v>
      </c>
      <c r="B234" s="937"/>
      <c r="C234" s="937"/>
      <c r="D234" s="938"/>
      <c r="E234" s="938"/>
      <c r="F234" s="938"/>
      <c r="G234" s="938"/>
      <c r="H234" s="938"/>
      <c r="I234" s="938"/>
      <c r="J234" s="938"/>
      <c r="K234" s="938"/>
      <c r="L234" s="938"/>
      <c r="M234" s="938"/>
      <c r="N234" s="938"/>
      <c r="O234" s="939">
        <f>+SUMPRODUCT(O235:O238,AC235:AC238)</f>
        <v>1</v>
      </c>
      <c r="P234" s="939">
        <f t="shared" ref="P234:R234" si="456">+SUMPRODUCT(P235:P238,AD235:AD238)</f>
        <v>0.95499999999999996</v>
      </c>
      <c r="Q234" s="939">
        <f t="shared" si="456"/>
        <v>1</v>
      </c>
      <c r="R234" s="939">
        <f t="shared" si="456"/>
        <v>1</v>
      </c>
      <c r="S234" s="1178"/>
      <c r="T234" s="1178"/>
      <c r="U234" s="937"/>
      <c r="V234" s="937"/>
      <c r="W234" s="937"/>
      <c r="X234" s="1178"/>
      <c r="Y234" s="1102"/>
      <c r="Z234" s="940"/>
      <c r="AA234" s="939">
        <f>+SUMPRODUCT(AA235:AA238,AB235:AB238)</f>
        <v>0.98875000000000002</v>
      </c>
      <c r="AB234" s="939">
        <v>0.8</v>
      </c>
      <c r="AC234" s="939">
        <v>1</v>
      </c>
      <c r="AD234" s="939">
        <v>0.8</v>
      </c>
      <c r="AE234" s="939">
        <v>0.8</v>
      </c>
      <c r="AF234" s="939">
        <v>0.85</v>
      </c>
      <c r="AG234" s="937">
        <f>SUM(AG235:AG238)</f>
        <v>787500000</v>
      </c>
      <c r="AH234" s="937">
        <f>SUM(AH235:AH238)</f>
        <v>1216381367</v>
      </c>
      <c r="AI234" s="937">
        <f>SUM(AI235:AI238)</f>
        <v>1055504731</v>
      </c>
      <c r="AJ234" s="937">
        <f>SUM(AJ235:AJ238)</f>
        <v>787092990</v>
      </c>
      <c r="AK234" s="937">
        <f>SUM(AK235:AK238)</f>
        <v>786850361</v>
      </c>
      <c r="AL234" s="943">
        <f t="shared" si="401"/>
        <v>0.99917506158730163</v>
      </c>
      <c r="AM234" s="937">
        <f>SUM(AM235:AM238)</f>
        <v>62000000</v>
      </c>
      <c r="AN234" s="937">
        <f>SUM(AN235:AN238)</f>
        <v>920801673</v>
      </c>
      <c r="AO234" s="937">
        <f>SUM(AO235:AO238)</f>
        <v>730536872</v>
      </c>
      <c r="AP234" s="937">
        <f>SUM(AP235:AP238)</f>
        <v>735760418</v>
      </c>
      <c r="AQ234" s="944">
        <f t="shared" si="402"/>
        <v>0.93429894349206344</v>
      </c>
      <c r="AR234" s="945">
        <f t="shared" ref="AR234:AX234" si="457">SUM(AR235:AR238)</f>
        <v>56556118</v>
      </c>
      <c r="AS234" s="937">
        <f t="shared" si="457"/>
        <v>1154381367</v>
      </c>
      <c r="AT234" s="937">
        <f t="shared" si="457"/>
        <v>1144381367</v>
      </c>
      <c r="AU234" s="937">
        <f t="shared" si="457"/>
        <v>134703058</v>
      </c>
      <c r="AV234" s="937">
        <f t="shared" si="457"/>
        <v>120415336</v>
      </c>
      <c r="AW234" s="937">
        <f t="shared" si="457"/>
        <v>56556118</v>
      </c>
      <c r="AX234" s="937">
        <f t="shared" si="457"/>
        <v>56153357</v>
      </c>
      <c r="AY234" s="946">
        <f t="shared" si="389"/>
        <v>0.84264880061251723</v>
      </c>
      <c r="AZ234" s="937">
        <f t="shared" ref="AZ234" si="458">SUM(AZ235:AZ238)</f>
        <v>3987391449</v>
      </c>
      <c r="BA234" s="937">
        <f t="shared" si="404"/>
        <v>3845829449</v>
      </c>
      <c r="BB234" s="939">
        <f t="shared" si="405"/>
        <v>0.96449759151800796</v>
      </c>
      <c r="BC234" s="1005">
        <f t="shared" si="406"/>
        <v>3770049023</v>
      </c>
      <c r="BD234" s="939">
        <f t="shared" si="407"/>
        <v>0.94549257859934788</v>
      </c>
      <c r="BE234" s="945"/>
      <c r="BF234" s="945"/>
      <c r="BG234" s="945"/>
      <c r="BH234" s="945"/>
    </row>
    <row r="235" spans="1:60" s="908" customFormat="1" ht="47.4" customHeight="1">
      <c r="A235" s="1220" t="s">
        <v>2590</v>
      </c>
      <c r="B235" s="980" t="s">
        <v>2591</v>
      </c>
      <c r="C235" s="948" t="s">
        <v>1056</v>
      </c>
      <c r="D235" s="1219">
        <v>0.5</v>
      </c>
      <c r="E235" s="1219">
        <v>0.4</v>
      </c>
      <c r="F235" s="1219">
        <v>0.05</v>
      </c>
      <c r="G235" s="1219">
        <v>0.05</v>
      </c>
      <c r="H235" s="1219">
        <v>0.5</v>
      </c>
      <c r="I235" s="951">
        <v>0.4</v>
      </c>
      <c r="J235" s="951">
        <v>0.05</v>
      </c>
      <c r="K235" s="951">
        <v>0.05</v>
      </c>
      <c r="L235" s="949"/>
      <c r="M235" s="949"/>
      <c r="N235" s="949"/>
      <c r="O235" s="973">
        <f t="shared" ref="O235:Q238" si="459">+IFERROR(IF((H235+L235)/D235&gt;=100%,100%,(H235+L235)/D235),0)</f>
        <v>1</v>
      </c>
      <c r="P235" s="973">
        <f t="shared" si="459"/>
        <v>1</v>
      </c>
      <c r="Q235" s="973">
        <f t="shared" si="459"/>
        <v>1</v>
      </c>
      <c r="R235" s="951">
        <f t="shared" ref="R235:R238" si="460">+IFERROR(IF(K235/G235&gt;=100%,100%,K235/G235),0)</f>
        <v>1</v>
      </c>
      <c r="S235" s="908" t="s">
        <v>2592</v>
      </c>
      <c r="T235" s="974">
        <v>45107</v>
      </c>
      <c r="U235" s="985"/>
      <c r="V235" s="985"/>
      <c r="W235" s="952"/>
      <c r="X235" s="976"/>
      <c r="Y235" s="1227">
        <f t="shared" ref="Y235:Y238" si="461">SUM(D235:G235)</f>
        <v>1</v>
      </c>
      <c r="Z235" s="977">
        <f t="shared" ref="Z235:Z238" si="462">SUM(H235:N235)</f>
        <v>1</v>
      </c>
      <c r="AA235" s="1026">
        <f t="shared" ref="AA235:AA238" si="463">IF(Z235/Y235&gt;=100%,100%,Z235/Y235)</f>
        <v>1</v>
      </c>
      <c r="AB235" s="1092">
        <v>0.35</v>
      </c>
      <c r="AC235" s="1092">
        <v>0.35</v>
      </c>
      <c r="AD235" s="1092">
        <v>0.35</v>
      </c>
      <c r="AE235" s="951">
        <v>0.35</v>
      </c>
      <c r="AF235" s="951">
        <v>0.4</v>
      </c>
      <c r="AG235" s="1223">
        <v>125000000</v>
      </c>
      <c r="AH235" s="1223">
        <v>649891449</v>
      </c>
      <c r="AI235" s="1223">
        <v>548728092</v>
      </c>
      <c r="AJ235" s="1223">
        <v>124935395</v>
      </c>
      <c r="AK235" s="1223">
        <v>125000000</v>
      </c>
      <c r="AL235" s="1025">
        <f t="shared" si="401"/>
        <v>1</v>
      </c>
      <c r="AM235" s="1223">
        <v>0</v>
      </c>
      <c r="AN235" s="1223">
        <v>502151646</v>
      </c>
      <c r="AO235" s="1223">
        <v>120303258</v>
      </c>
      <c r="AP235" s="1223">
        <v>116785171</v>
      </c>
      <c r="AQ235" s="1026">
        <f t="shared" si="402"/>
        <v>0.93428136799999995</v>
      </c>
      <c r="AR235" s="958">
        <f t="shared" ref="AR235:AR238" si="464">+AJ235-AO235</f>
        <v>4632137</v>
      </c>
      <c r="AS235" s="1223">
        <v>649891449</v>
      </c>
      <c r="AT235" s="1223">
        <v>649891449</v>
      </c>
      <c r="AU235" s="1223">
        <v>46576446</v>
      </c>
      <c r="AV235" s="1223">
        <v>38209185</v>
      </c>
      <c r="AW235" s="1223">
        <v>4632137</v>
      </c>
      <c r="AX235" s="1223">
        <v>4568207</v>
      </c>
      <c r="AY235" s="1027">
        <f t="shared" si="389"/>
        <v>10.792206491301963</v>
      </c>
      <c r="AZ235" s="1071">
        <v>1499891449</v>
      </c>
      <c r="BA235" s="1000">
        <f t="shared" si="404"/>
        <v>1448554936</v>
      </c>
      <c r="BB235" s="1026">
        <f t="shared" si="405"/>
        <v>0.96577318109638743</v>
      </c>
      <c r="BC235" s="1029">
        <f t="shared" si="406"/>
        <v>1431908916</v>
      </c>
      <c r="BD235" s="973">
        <f t="shared" si="407"/>
        <v>0.95467503128621412</v>
      </c>
      <c r="BE235" s="1030"/>
      <c r="BF235" s="1030"/>
      <c r="BG235" s="953" t="s">
        <v>1703</v>
      </c>
      <c r="BH235" s="1371" t="s">
        <v>2150</v>
      </c>
    </row>
    <row r="236" spans="1:60" s="908" customFormat="1" ht="47.4" customHeight="1">
      <c r="A236" s="1220" t="s">
        <v>2593</v>
      </c>
      <c r="B236" s="980" t="s">
        <v>2594</v>
      </c>
      <c r="C236" s="948" t="s">
        <v>1056</v>
      </c>
      <c r="D236" s="1219">
        <v>0.1</v>
      </c>
      <c r="E236" s="1219">
        <v>0.2</v>
      </c>
      <c r="F236" s="1219">
        <v>0.3</v>
      </c>
      <c r="G236" s="1219">
        <v>0.3</v>
      </c>
      <c r="H236" s="1219">
        <v>0.1</v>
      </c>
      <c r="I236" s="951">
        <v>0.2</v>
      </c>
      <c r="J236" s="951">
        <v>0.3</v>
      </c>
      <c r="K236" s="951">
        <v>0.3</v>
      </c>
      <c r="L236" s="949"/>
      <c r="M236" s="949"/>
      <c r="N236" s="949"/>
      <c r="O236" s="973">
        <f t="shared" si="459"/>
        <v>1</v>
      </c>
      <c r="P236" s="973">
        <f t="shared" si="459"/>
        <v>1</v>
      </c>
      <c r="Q236" s="973">
        <f t="shared" si="459"/>
        <v>1</v>
      </c>
      <c r="R236" s="951">
        <f t="shared" si="460"/>
        <v>1</v>
      </c>
      <c r="S236" s="1198" t="s">
        <v>2595</v>
      </c>
      <c r="T236" s="974">
        <v>45107</v>
      </c>
      <c r="U236" s="985" t="s">
        <v>2115</v>
      </c>
      <c r="V236" s="985"/>
      <c r="W236" s="952" t="s">
        <v>2116</v>
      </c>
      <c r="X236" s="976">
        <v>227</v>
      </c>
      <c r="Y236" s="1227">
        <f t="shared" si="461"/>
        <v>0.90000000000000013</v>
      </c>
      <c r="Z236" s="977">
        <f t="shared" si="462"/>
        <v>0.90000000000000013</v>
      </c>
      <c r="AA236" s="1026">
        <f t="shared" si="463"/>
        <v>1</v>
      </c>
      <c r="AB236" s="1092">
        <v>0.35</v>
      </c>
      <c r="AC236" s="1092">
        <v>0.35</v>
      </c>
      <c r="AD236" s="1092">
        <v>0.35</v>
      </c>
      <c r="AE236" s="951">
        <v>0.35</v>
      </c>
      <c r="AF236" s="951">
        <v>0.4</v>
      </c>
      <c r="AG236" s="1223">
        <v>300000000</v>
      </c>
      <c r="AH236" s="1223">
        <v>164237276</v>
      </c>
      <c r="AI236" s="1223">
        <v>153603288</v>
      </c>
      <c r="AJ236" s="1223">
        <v>299844949</v>
      </c>
      <c r="AK236" s="1223">
        <v>299996161</v>
      </c>
      <c r="AL236" s="1025">
        <f t="shared" si="401"/>
        <v>0.99998720333333335</v>
      </c>
      <c r="AM236" s="1223">
        <v>0</v>
      </c>
      <c r="AN236" s="1223">
        <v>136048810</v>
      </c>
      <c r="AO236" s="1223">
        <v>288727816</v>
      </c>
      <c r="AP236" s="1223">
        <v>284825363</v>
      </c>
      <c r="AQ236" s="1026">
        <f t="shared" si="402"/>
        <v>0.94941787666666666</v>
      </c>
      <c r="AR236" s="958">
        <f t="shared" si="464"/>
        <v>11117133</v>
      </c>
      <c r="AS236" s="1223">
        <v>164237276</v>
      </c>
      <c r="AT236" s="1223">
        <v>164237276</v>
      </c>
      <c r="AU236" s="1223">
        <v>17554478</v>
      </c>
      <c r="AV236" s="1223">
        <v>15441979</v>
      </c>
      <c r="AW236" s="1223">
        <v>11117133</v>
      </c>
      <c r="AX236" s="1223">
        <v>10963700</v>
      </c>
      <c r="AY236" s="1027">
        <f t="shared" si="389"/>
        <v>5.0510646045162906</v>
      </c>
      <c r="AZ236" s="1071">
        <v>980000000</v>
      </c>
      <c r="BA236" s="1000">
        <f t="shared" si="404"/>
        <v>917681674</v>
      </c>
      <c r="BB236" s="973">
        <f t="shared" si="405"/>
        <v>0.93640987142857146</v>
      </c>
      <c r="BC236" s="1029">
        <f t="shared" si="406"/>
        <v>900244944</v>
      </c>
      <c r="BD236" s="973">
        <f t="shared" si="407"/>
        <v>0.91861728979591839</v>
      </c>
      <c r="BE236" s="1030"/>
      <c r="BF236" s="1030"/>
      <c r="BG236" s="953" t="s">
        <v>1703</v>
      </c>
      <c r="BH236" s="1370"/>
    </row>
    <row r="237" spans="1:60" s="908" customFormat="1" ht="47.4" customHeight="1">
      <c r="A237" s="1220" t="s">
        <v>2596</v>
      </c>
      <c r="B237" s="980" t="s">
        <v>2597</v>
      </c>
      <c r="C237" s="948" t="s">
        <v>1056</v>
      </c>
      <c r="D237" s="1219">
        <v>1</v>
      </c>
      <c r="E237" s="1219">
        <v>1</v>
      </c>
      <c r="F237" s="1219">
        <v>1</v>
      </c>
      <c r="G237" s="1219">
        <v>1</v>
      </c>
      <c r="H237" s="1219">
        <v>1</v>
      </c>
      <c r="I237" s="951">
        <v>0.7</v>
      </c>
      <c r="J237" s="951">
        <v>1</v>
      </c>
      <c r="K237" s="951">
        <v>1</v>
      </c>
      <c r="L237" s="949"/>
      <c r="M237" s="949"/>
      <c r="N237" s="949"/>
      <c r="O237" s="973">
        <f t="shared" si="459"/>
        <v>1</v>
      </c>
      <c r="P237" s="973">
        <f t="shared" si="459"/>
        <v>0.7</v>
      </c>
      <c r="Q237" s="973">
        <f t="shared" si="459"/>
        <v>1</v>
      </c>
      <c r="R237" s="951">
        <f t="shared" si="460"/>
        <v>1</v>
      </c>
      <c r="S237" s="1198" t="s">
        <v>2598</v>
      </c>
      <c r="T237" s="974">
        <v>45107</v>
      </c>
      <c r="U237" s="985" t="s">
        <v>2115</v>
      </c>
      <c r="V237" s="985"/>
      <c r="W237" s="952" t="s">
        <v>2116</v>
      </c>
      <c r="X237" s="976">
        <v>227</v>
      </c>
      <c r="Y237" s="1227">
        <f t="shared" si="461"/>
        <v>4</v>
      </c>
      <c r="Z237" s="977">
        <f t="shared" si="462"/>
        <v>3.7</v>
      </c>
      <c r="AA237" s="1026">
        <f t="shared" si="463"/>
        <v>0.92500000000000004</v>
      </c>
      <c r="AB237" s="1092">
        <v>0.15</v>
      </c>
      <c r="AC237" s="1092">
        <v>0.15</v>
      </c>
      <c r="AD237" s="1092">
        <v>0.15</v>
      </c>
      <c r="AE237" s="951">
        <v>0.15</v>
      </c>
      <c r="AF237" s="951">
        <v>0.2</v>
      </c>
      <c r="AG237" s="1251">
        <v>362500000</v>
      </c>
      <c r="AH237" s="1223">
        <v>250000000</v>
      </c>
      <c r="AI237" s="1223">
        <v>176232968</v>
      </c>
      <c r="AJ237" s="1223">
        <v>199893402</v>
      </c>
      <c r="AK237" s="1223">
        <v>361854200</v>
      </c>
      <c r="AL237" s="1025">
        <f t="shared" si="401"/>
        <v>0.99821848275862068</v>
      </c>
      <c r="AM237" s="1223">
        <v>0</v>
      </c>
      <c r="AN237" s="1223">
        <v>153874652</v>
      </c>
      <c r="AO237" s="1223">
        <v>164876727</v>
      </c>
      <c r="AP237" s="1223">
        <v>334149884</v>
      </c>
      <c r="AQ237" s="1026">
        <f t="shared" si="402"/>
        <v>0.92179278344827587</v>
      </c>
      <c r="AR237" s="958">
        <f t="shared" si="464"/>
        <v>35016675</v>
      </c>
      <c r="AS237" s="1223">
        <v>250000000</v>
      </c>
      <c r="AT237" s="1223">
        <v>250000000</v>
      </c>
      <c r="AU237" s="1223">
        <v>22358316</v>
      </c>
      <c r="AV237" s="1223">
        <v>19994602</v>
      </c>
      <c r="AW237" s="1223">
        <v>35016675</v>
      </c>
      <c r="AX237" s="1223">
        <v>34911190</v>
      </c>
      <c r="AY237" s="1027">
        <f t="shared" si="389"/>
        <v>0.13045804605948452</v>
      </c>
      <c r="AZ237" s="1050">
        <v>1012500000</v>
      </c>
      <c r="BA237" s="1000">
        <f t="shared" si="404"/>
        <v>987980570</v>
      </c>
      <c r="BB237" s="973">
        <f t="shared" si="405"/>
        <v>0.97578327901234563</v>
      </c>
      <c r="BC237" s="1029">
        <f t="shared" si="406"/>
        <v>957807055</v>
      </c>
      <c r="BD237" s="973">
        <f t="shared" si="407"/>
        <v>0.94598227654320988</v>
      </c>
      <c r="BE237" s="1030"/>
      <c r="BF237" s="1030"/>
      <c r="BG237" s="953" t="s">
        <v>1703</v>
      </c>
      <c r="BH237" s="1370"/>
    </row>
    <row r="238" spans="1:60" s="908" customFormat="1" ht="49.5" hidden="1" customHeight="1">
      <c r="A238" s="1220" t="s">
        <v>2599</v>
      </c>
      <c r="B238" s="980" t="s">
        <v>2600</v>
      </c>
      <c r="C238" s="980" t="s">
        <v>2108</v>
      </c>
      <c r="D238" s="1221">
        <v>1</v>
      </c>
      <c r="E238" s="1252">
        <v>0.1</v>
      </c>
      <c r="F238" s="1221">
        <v>1</v>
      </c>
      <c r="G238" s="1221">
        <v>0</v>
      </c>
      <c r="H238" s="1228">
        <v>2</v>
      </c>
      <c r="I238" s="1252">
        <v>0.1</v>
      </c>
      <c r="J238" s="1114">
        <v>3</v>
      </c>
      <c r="K238" s="949"/>
      <c r="L238" s="950"/>
      <c r="M238" s="950"/>
      <c r="N238" s="950"/>
      <c r="O238" s="973">
        <f t="shared" si="459"/>
        <v>1</v>
      </c>
      <c r="P238" s="973">
        <f t="shared" si="459"/>
        <v>1</v>
      </c>
      <c r="Q238" s="973">
        <f t="shared" si="459"/>
        <v>1</v>
      </c>
      <c r="R238" s="951">
        <f t="shared" si="460"/>
        <v>0</v>
      </c>
      <c r="S238" s="1198"/>
      <c r="T238" s="1198"/>
      <c r="U238" s="985"/>
      <c r="V238" s="985"/>
      <c r="W238" s="952"/>
      <c r="X238" s="975"/>
      <c r="Y238" s="1253">
        <f t="shared" si="461"/>
        <v>2.1</v>
      </c>
      <c r="Z238" s="956">
        <f t="shared" si="462"/>
        <v>5.0999999999999996</v>
      </c>
      <c r="AA238" s="1026">
        <f t="shared" si="463"/>
        <v>1</v>
      </c>
      <c r="AB238" s="1092">
        <v>0.15</v>
      </c>
      <c r="AC238" s="1092">
        <v>0.15</v>
      </c>
      <c r="AD238" s="1092">
        <v>0.15</v>
      </c>
      <c r="AE238" s="973">
        <v>0.15</v>
      </c>
      <c r="AF238" s="951">
        <v>0</v>
      </c>
      <c r="AG238" s="1245">
        <v>0</v>
      </c>
      <c r="AH238" s="1223">
        <v>152252642</v>
      </c>
      <c r="AI238" s="1223">
        <v>176940383</v>
      </c>
      <c r="AJ238" s="1223">
        <v>162419244</v>
      </c>
      <c r="AK238" s="1223">
        <v>0</v>
      </c>
      <c r="AL238" s="1025" t="e">
        <f t="shared" si="401"/>
        <v>#DIV/0!</v>
      </c>
      <c r="AM238" s="1223">
        <v>62000000</v>
      </c>
      <c r="AN238" s="1223">
        <v>128726565</v>
      </c>
      <c r="AO238" s="1223">
        <v>156629071</v>
      </c>
      <c r="AP238" s="1223"/>
      <c r="AQ238" s="1026" t="e">
        <f t="shared" si="402"/>
        <v>#DIV/0!</v>
      </c>
      <c r="AR238" s="958">
        <f t="shared" si="464"/>
        <v>5790173</v>
      </c>
      <c r="AS238" s="1223">
        <v>90252642</v>
      </c>
      <c r="AT238" s="1223">
        <v>80252642</v>
      </c>
      <c r="AU238" s="1223">
        <v>48213818</v>
      </c>
      <c r="AV238" s="1223">
        <v>46769570</v>
      </c>
      <c r="AW238" s="1223">
        <v>5790173</v>
      </c>
      <c r="AX238" s="1223">
        <v>5710260</v>
      </c>
      <c r="AY238" s="1027">
        <f t="shared" si="389"/>
        <v>1.8935012822587511</v>
      </c>
      <c r="AZ238" s="1050">
        <v>495000000</v>
      </c>
      <c r="BA238" s="1000">
        <f t="shared" si="404"/>
        <v>491612269</v>
      </c>
      <c r="BB238" s="973">
        <f>+BA238/AZ238</f>
        <v>0.99315609898989898</v>
      </c>
      <c r="BC238" s="1029">
        <f t="shared" si="406"/>
        <v>480088108</v>
      </c>
      <c r="BD238" s="973">
        <f t="shared" si="407"/>
        <v>0.96987496565656561</v>
      </c>
      <c r="BE238" s="1030"/>
      <c r="BF238" s="1030"/>
      <c r="BG238" s="953" t="s">
        <v>1703</v>
      </c>
      <c r="BH238" s="1224" t="s">
        <v>2150</v>
      </c>
    </row>
    <row r="239" spans="1:60" s="908" customFormat="1" ht="47.4" customHeight="1">
      <c r="A239" s="925" t="s">
        <v>2601</v>
      </c>
      <c r="B239" s="926"/>
      <c r="C239" s="926"/>
      <c r="D239" s="927"/>
      <c r="E239" s="927"/>
      <c r="F239" s="927"/>
      <c r="G239" s="927"/>
      <c r="H239" s="927"/>
      <c r="I239" s="927"/>
      <c r="J239" s="927"/>
      <c r="K239" s="927"/>
      <c r="L239" s="927"/>
      <c r="M239" s="927"/>
      <c r="N239" s="927"/>
      <c r="O239" s="928">
        <f>+(O240*AC240)</f>
        <v>1</v>
      </c>
      <c r="P239" s="928">
        <f t="shared" ref="P239:R239" si="465">+(P240*AD240)</f>
        <v>1</v>
      </c>
      <c r="Q239" s="928">
        <f t="shared" si="465"/>
        <v>1</v>
      </c>
      <c r="R239" s="928">
        <f t="shared" si="465"/>
        <v>1</v>
      </c>
      <c r="S239" s="1176"/>
      <c r="T239" s="1176"/>
      <c r="U239" s="926"/>
      <c r="V239" s="926"/>
      <c r="W239" s="926"/>
      <c r="X239" s="1176"/>
      <c r="Y239" s="1177"/>
      <c r="Z239" s="929"/>
      <c r="AA239" s="928">
        <f>+(AA240*AB240)</f>
        <v>1</v>
      </c>
      <c r="AB239" s="928">
        <v>0.1</v>
      </c>
      <c r="AC239" s="928">
        <v>0.1</v>
      </c>
      <c r="AD239" s="928">
        <v>0.1</v>
      </c>
      <c r="AE239" s="928">
        <v>0.1</v>
      </c>
      <c r="AF239" s="928">
        <v>0.1</v>
      </c>
      <c r="AG239" s="926">
        <f>+AG240</f>
        <v>400000000</v>
      </c>
      <c r="AH239" s="926">
        <f>+AH240</f>
        <v>313482364.75</v>
      </c>
      <c r="AI239" s="926">
        <f>+AI240</f>
        <v>412454675.72000003</v>
      </c>
      <c r="AJ239" s="926">
        <f>+AJ240</f>
        <v>399742322</v>
      </c>
      <c r="AK239" s="926">
        <f>+AK240</f>
        <v>400000000</v>
      </c>
      <c r="AL239" s="931">
        <f t="shared" si="401"/>
        <v>1</v>
      </c>
      <c r="AM239" s="926">
        <f>+AM240</f>
        <v>269291455</v>
      </c>
      <c r="AN239" s="926">
        <f>+AN240</f>
        <v>378268839.72000003</v>
      </c>
      <c r="AO239" s="926">
        <f>+AO240</f>
        <v>392140930</v>
      </c>
      <c r="AP239" s="926">
        <f>+AP240</f>
        <v>386874644</v>
      </c>
      <c r="AQ239" s="1229">
        <f t="shared" si="402"/>
        <v>0.96718660999999995</v>
      </c>
      <c r="AR239" s="926">
        <f t="shared" ref="AR239:AX239" si="466">+AR240</f>
        <v>7601392</v>
      </c>
      <c r="AS239" s="932">
        <f t="shared" si="466"/>
        <v>44190909.75</v>
      </c>
      <c r="AT239" s="926">
        <f t="shared" si="466"/>
        <v>38890909.25</v>
      </c>
      <c r="AU239" s="926">
        <f t="shared" si="466"/>
        <v>34185836</v>
      </c>
      <c r="AV239" s="926">
        <f t="shared" si="466"/>
        <v>32023971</v>
      </c>
      <c r="AW239" s="926">
        <f t="shared" si="466"/>
        <v>7601392</v>
      </c>
      <c r="AX239" s="926">
        <f t="shared" si="466"/>
        <v>7412093.6899999995</v>
      </c>
      <c r="AY239" s="1111">
        <f t="shared" si="389"/>
        <v>4.5927364356423137</v>
      </c>
      <c r="AZ239" s="926">
        <f t="shared" ref="AZ239" si="467">+AZ240</f>
        <v>1620000000</v>
      </c>
      <c r="BA239" s="926">
        <f t="shared" si="404"/>
        <v>1525679362.47</v>
      </c>
      <c r="BB239" s="928">
        <f t="shared" si="405"/>
        <v>0.94177738424074076</v>
      </c>
      <c r="BC239" s="1010">
        <f t="shared" si="406"/>
        <v>1504902842.6600001</v>
      </c>
      <c r="BD239" s="928">
        <f t="shared" si="407"/>
        <v>0.92895237201234571</v>
      </c>
      <c r="BE239" s="926"/>
      <c r="BF239" s="926" t="s">
        <v>1702</v>
      </c>
      <c r="BG239" s="926"/>
      <c r="BH239" s="926"/>
    </row>
    <row r="240" spans="1:60" s="908" customFormat="1" ht="47.4" customHeight="1">
      <c r="A240" s="936" t="s">
        <v>2602</v>
      </c>
      <c r="B240" s="937"/>
      <c r="C240" s="937"/>
      <c r="D240" s="938"/>
      <c r="E240" s="938"/>
      <c r="F240" s="938"/>
      <c r="G240" s="938"/>
      <c r="H240" s="938"/>
      <c r="I240" s="938"/>
      <c r="J240" s="938"/>
      <c r="K240" s="938"/>
      <c r="L240" s="938"/>
      <c r="M240" s="938"/>
      <c r="N240" s="938"/>
      <c r="O240" s="939">
        <f>+SUMPRODUCT(O241:O244,AC241:AC244)</f>
        <v>1</v>
      </c>
      <c r="P240" s="939">
        <f t="shared" ref="P240:R240" si="468">+SUMPRODUCT(P241:P244,AD241:AD244)</f>
        <v>1</v>
      </c>
      <c r="Q240" s="939">
        <f t="shared" si="468"/>
        <v>1</v>
      </c>
      <c r="R240" s="939">
        <f t="shared" si="468"/>
        <v>1</v>
      </c>
      <c r="S240" s="1178"/>
      <c r="T240" s="1178"/>
      <c r="U240" s="937"/>
      <c r="V240" s="937"/>
      <c r="W240" s="937"/>
      <c r="X240" s="1178"/>
      <c r="Y240" s="1102"/>
      <c r="Z240" s="940"/>
      <c r="AA240" s="939">
        <f>+SUMPRODUCT(AA241:AA244,AB241:AB244)</f>
        <v>1</v>
      </c>
      <c r="AB240" s="939">
        <v>1</v>
      </c>
      <c r="AC240" s="939">
        <v>1</v>
      </c>
      <c r="AD240" s="939">
        <v>1</v>
      </c>
      <c r="AE240" s="939">
        <v>1</v>
      </c>
      <c r="AF240" s="939">
        <v>1</v>
      </c>
      <c r="AG240" s="937">
        <f>SUM(AG241:AG244)</f>
        <v>400000000</v>
      </c>
      <c r="AH240" s="937">
        <f>SUM(AH241:AH244)</f>
        <v>313482364.75</v>
      </c>
      <c r="AI240" s="937">
        <f>SUM(AI241:AI244)</f>
        <v>412454675.72000003</v>
      </c>
      <c r="AJ240" s="937">
        <f>SUM(AJ241:AJ244)</f>
        <v>399742322</v>
      </c>
      <c r="AK240" s="937">
        <f>SUM(AK241:AK244)</f>
        <v>400000000</v>
      </c>
      <c r="AL240" s="943">
        <f t="shared" si="401"/>
        <v>1</v>
      </c>
      <c r="AM240" s="937">
        <f>SUM(AM241:AM244)</f>
        <v>269291455</v>
      </c>
      <c r="AN240" s="937">
        <f>SUM(AN241:AN244)</f>
        <v>378268839.72000003</v>
      </c>
      <c r="AO240" s="937">
        <f>SUM(AO241:AO244)</f>
        <v>392140930</v>
      </c>
      <c r="AP240" s="937">
        <f>SUM(AP241:AP244)</f>
        <v>386874644</v>
      </c>
      <c r="AQ240" s="944">
        <f t="shared" si="402"/>
        <v>0.96718660999999995</v>
      </c>
      <c r="AR240" s="945">
        <f t="shared" ref="AR240:AX240" si="469">SUM(AR241:AR244)</f>
        <v>7601392</v>
      </c>
      <c r="AS240" s="942">
        <f t="shared" si="469"/>
        <v>44190909.75</v>
      </c>
      <c r="AT240" s="937">
        <f t="shared" si="469"/>
        <v>38890909.25</v>
      </c>
      <c r="AU240" s="937">
        <f t="shared" si="469"/>
        <v>34185836</v>
      </c>
      <c r="AV240" s="937">
        <f t="shared" si="469"/>
        <v>32023971</v>
      </c>
      <c r="AW240" s="937">
        <f t="shared" si="469"/>
        <v>7601392</v>
      </c>
      <c r="AX240" s="937">
        <f t="shared" si="469"/>
        <v>7412093.6899999995</v>
      </c>
      <c r="AY240" s="946">
        <f t="shared" si="389"/>
        <v>0.75121240951657275</v>
      </c>
      <c r="AZ240" s="937">
        <f t="shared" ref="AZ240" si="470">SUM(AZ241:AZ244)</f>
        <v>1620000000</v>
      </c>
      <c r="BA240" s="937">
        <f t="shared" si="404"/>
        <v>1525679362.47</v>
      </c>
      <c r="BB240" s="939">
        <f t="shared" si="405"/>
        <v>0.94177738424074076</v>
      </c>
      <c r="BC240" s="1005">
        <f t="shared" si="406"/>
        <v>1504902842.6600001</v>
      </c>
      <c r="BD240" s="939">
        <f t="shared" si="407"/>
        <v>0.92895237201234571</v>
      </c>
      <c r="BE240" s="945"/>
      <c r="BF240" s="945"/>
      <c r="BG240" s="945"/>
      <c r="BH240" s="945"/>
    </row>
    <row r="241" spans="1:61" s="908" customFormat="1" ht="47.4" customHeight="1">
      <c r="A241" s="1231" t="s">
        <v>2603</v>
      </c>
      <c r="B241" s="1232" t="s">
        <v>2604</v>
      </c>
      <c r="C241" s="980" t="s">
        <v>2108</v>
      </c>
      <c r="D241" s="1033">
        <v>4</v>
      </c>
      <c r="E241" s="1033">
        <v>5</v>
      </c>
      <c r="F241" s="1033">
        <v>5</v>
      </c>
      <c r="G241" s="1033">
        <v>6</v>
      </c>
      <c r="H241" s="949">
        <v>4</v>
      </c>
      <c r="I241" s="949">
        <v>5</v>
      </c>
      <c r="J241" s="949">
        <v>5</v>
      </c>
      <c r="K241" s="949">
        <v>6</v>
      </c>
      <c r="L241" s="949"/>
      <c r="M241" s="949"/>
      <c r="N241" s="949"/>
      <c r="O241" s="951">
        <f t="shared" ref="O241:Q244" si="471">+IFERROR(IF((H241+L241)/D241&gt;=100%,100%,(H241+L241)/D241),0)</f>
        <v>1</v>
      </c>
      <c r="P241" s="973">
        <f t="shared" si="471"/>
        <v>1</v>
      </c>
      <c r="Q241" s="973">
        <f t="shared" si="471"/>
        <v>1</v>
      </c>
      <c r="R241" s="951">
        <f t="shared" ref="R241:R244" si="472">+IFERROR(IF(K241/G241&gt;=100%,100%,K241/G241),0)</f>
        <v>1</v>
      </c>
      <c r="S241" s="908" t="s">
        <v>2605</v>
      </c>
      <c r="T241" s="974">
        <v>45107</v>
      </c>
      <c r="U241" s="985" t="s">
        <v>2115</v>
      </c>
      <c r="V241" s="985"/>
      <c r="W241" s="952" t="s">
        <v>2116</v>
      </c>
      <c r="X241" s="976" t="s">
        <v>2606</v>
      </c>
      <c r="Y241" s="949">
        <f t="shared" ref="Y241:Y244" si="473">SUM(D241:G241)</f>
        <v>20</v>
      </c>
      <c r="Z241" s="956">
        <f t="shared" ref="Z241:Z244" si="474">SUM(H241:N241)</f>
        <v>20</v>
      </c>
      <c r="AA241" s="971">
        <f t="shared" ref="AA241:AA244" si="475">IF(Z241/Y241&gt;=100%,100%,Z241/Y241)</f>
        <v>1</v>
      </c>
      <c r="AB241" s="1099">
        <v>0.25</v>
      </c>
      <c r="AC241" s="1099">
        <v>0.25</v>
      </c>
      <c r="AD241" s="1099">
        <v>0.25</v>
      </c>
      <c r="AE241" s="1099">
        <v>0.25</v>
      </c>
      <c r="AF241" s="1099">
        <v>0.25</v>
      </c>
      <c r="AG241" s="1251">
        <v>300000000</v>
      </c>
      <c r="AH241" s="1223">
        <v>87791455.5</v>
      </c>
      <c r="AI241" s="1251">
        <v>147519988.86000001</v>
      </c>
      <c r="AJ241" s="1251">
        <v>139900233</v>
      </c>
      <c r="AK241" s="1251">
        <v>300000000</v>
      </c>
      <c r="AL241" s="959">
        <f t="shared" si="401"/>
        <v>1</v>
      </c>
      <c r="AM241" s="1223">
        <v>82091455</v>
      </c>
      <c r="AN241" s="1251">
        <v>141357288.86000001</v>
      </c>
      <c r="AO241" s="1251">
        <v>137645230</v>
      </c>
      <c r="AP241" s="1251">
        <v>289106127</v>
      </c>
      <c r="AQ241" s="971">
        <f t="shared" si="402"/>
        <v>0.96368708999999997</v>
      </c>
      <c r="AR241" s="958">
        <f t="shared" ref="AR241:AR244" si="476">+AJ241-AO241</f>
        <v>2255003</v>
      </c>
      <c r="AS241" s="1254">
        <v>5700000.5</v>
      </c>
      <c r="AT241" s="1223">
        <v>5400000</v>
      </c>
      <c r="AU241" s="1223">
        <v>6162700</v>
      </c>
      <c r="AV241" s="1223">
        <v>5287778</v>
      </c>
      <c r="AW241" s="1223">
        <v>2255003</v>
      </c>
      <c r="AX241" s="1223">
        <v>2255003</v>
      </c>
      <c r="AY241" s="999">
        <f t="shared" si="389"/>
        <v>3.2869551348712172</v>
      </c>
      <c r="AZ241" s="1084">
        <v>690000000</v>
      </c>
      <c r="BA241" s="1000">
        <f t="shared" si="404"/>
        <v>675211677.36000001</v>
      </c>
      <c r="BB241" s="973">
        <f t="shared" si="405"/>
        <v>0.97856764834782606</v>
      </c>
      <c r="BC241" s="1029">
        <f t="shared" si="406"/>
        <v>663142881.86000001</v>
      </c>
      <c r="BD241" s="973">
        <f t="shared" si="407"/>
        <v>0.96107664037681162</v>
      </c>
      <c r="BE241" s="1030"/>
      <c r="BF241" s="969"/>
      <c r="BG241" s="953" t="s">
        <v>1703</v>
      </c>
      <c r="BH241" s="1375" t="s">
        <v>2545</v>
      </c>
    </row>
    <row r="242" spans="1:61" s="908" customFormat="1" ht="47.4" customHeight="1">
      <c r="A242" s="1231" t="s">
        <v>2607</v>
      </c>
      <c r="B242" s="1232" t="s">
        <v>2608</v>
      </c>
      <c r="C242" s="980" t="s">
        <v>2108</v>
      </c>
      <c r="D242" s="1033">
        <v>2</v>
      </c>
      <c r="E242" s="1033">
        <v>4</v>
      </c>
      <c r="F242" s="1033">
        <v>6</v>
      </c>
      <c r="G242" s="1033">
        <v>6</v>
      </c>
      <c r="H242" s="1033">
        <v>2</v>
      </c>
      <c r="I242" s="949">
        <v>5</v>
      </c>
      <c r="J242" s="949">
        <v>61</v>
      </c>
      <c r="K242" s="949">
        <v>26</v>
      </c>
      <c r="L242" s="949"/>
      <c r="M242" s="949"/>
      <c r="N242" s="949"/>
      <c r="O242" s="951">
        <f t="shared" si="471"/>
        <v>1</v>
      </c>
      <c r="P242" s="973">
        <f t="shared" si="471"/>
        <v>1</v>
      </c>
      <c r="Q242" s="973">
        <f t="shared" si="471"/>
        <v>1</v>
      </c>
      <c r="R242" s="951">
        <f t="shared" si="472"/>
        <v>1</v>
      </c>
      <c r="S242" s="908" t="s">
        <v>2609</v>
      </c>
      <c r="T242" s="974">
        <v>45107</v>
      </c>
      <c r="U242" s="985"/>
      <c r="V242" s="985"/>
      <c r="W242" s="952"/>
      <c r="X242" s="975"/>
      <c r="Y242" s="1233">
        <f t="shared" si="473"/>
        <v>18</v>
      </c>
      <c r="Z242" s="956">
        <f t="shared" si="474"/>
        <v>94</v>
      </c>
      <c r="AA242" s="971">
        <f t="shared" si="475"/>
        <v>1</v>
      </c>
      <c r="AB242" s="1099">
        <v>0.25</v>
      </c>
      <c r="AC242" s="1099">
        <v>0.25</v>
      </c>
      <c r="AD242" s="1099">
        <v>0.25</v>
      </c>
      <c r="AE242" s="1099">
        <v>0.25</v>
      </c>
      <c r="AF242" s="1099">
        <v>0.25</v>
      </c>
      <c r="AG242" s="1251">
        <v>100000000</v>
      </c>
      <c r="AH242" s="1223">
        <v>93190909.25</v>
      </c>
      <c r="AI242" s="1251">
        <v>58402045</v>
      </c>
      <c r="AJ242" s="1251">
        <v>139900233</v>
      </c>
      <c r="AK242" s="1251">
        <v>100000000</v>
      </c>
      <c r="AL242" s="959">
        <f t="shared" si="401"/>
        <v>1</v>
      </c>
      <c r="AM242" s="1223">
        <v>64700000</v>
      </c>
      <c r="AN242" s="1251">
        <v>55481190</v>
      </c>
      <c r="AO242" s="1251">
        <v>137520698</v>
      </c>
      <c r="AP242" s="1251">
        <v>97768517</v>
      </c>
      <c r="AQ242" s="971">
        <f t="shared" si="402"/>
        <v>0.97768516999999999</v>
      </c>
      <c r="AR242" s="958">
        <f t="shared" si="476"/>
        <v>2379535</v>
      </c>
      <c r="AS242" s="1254">
        <v>28490909.25</v>
      </c>
      <c r="AT242" s="1223">
        <v>23490909.25</v>
      </c>
      <c r="AU242" s="1223">
        <v>21802252</v>
      </c>
      <c r="AV242" s="1223">
        <v>21073149</v>
      </c>
      <c r="AW242" s="1223">
        <v>2379535</v>
      </c>
      <c r="AX242" s="1223">
        <v>2267996</v>
      </c>
      <c r="AY242" s="999">
        <f t="shared" si="389"/>
        <v>3.1149336698136398</v>
      </c>
      <c r="AZ242" s="1084">
        <v>400000000</v>
      </c>
      <c r="BA242" s="1000">
        <f t="shared" si="404"/>
        <v>391493187.25</v>
      </c>
      <c r="BB242" s="973">
        <f t="shared" si="405"/>
        <v>0.97873296812499999</v>
      </c>
      <c r="BC242" s="1029">
        <f t="shared" si="406"/>
        <v>402302459.25</v>
      </c>
      <c r="BD242" s="973">
        <f t="shared" si="407"/>
        <v>1.0057561481249999</v>
      </c>
      <c r="BE242" s="1030"/>
      <c r="BF242" s="969"/>
      <c r="BG242" s="953" t="s">
        <v>1703</v>
      </c>
      <c r="BH242" s="1370"/>
    </row>
    <row r="243" spans="1:61" s="908" customFormat="1" ht="135.75" hidden="1" customHeight="1">
      <c r="A243" s="1231" t="s">
        <v>2610</v>
      </c>
      <c r="B243" s="1232" t="s">
        <v>2611</v>
      </c>
      <c r="C243" s="980" t="s">
        <v>2108</v>
      </c>
      <c r="D243" s="1233">
        <v>1000</v>
      </c>
      <c r="E243" s="1233">
        <v>1000</v>
      </c>
      <c r="F243" s="1233">
        <v>1000</v>
      </c>
      <c r="G243" s="1233">
        <v>2000</v>
      </c>
      <c r="H243" s="1233">
        <v>1000</v>
      </c>
      <c r="I243" s="950">
        <v>71517</v>
      </c>
      <c r="J243" s="949">
        <v>39446</v>
      </c>
      <c r="K243" s="949">
        <v>27380</v>
      </c>
      <c r="L243" s="949"/>
      <c r="M243" s="949"/>
      <c r="N243" s="949"/>
      <c r="O243" s="951">
        <f t="shared" si="471"/>
        <v>1</v>
      </c>
      <c r="P243" s="973">
        <f t="shared" si="471"/>
        <v>1</v>
      </c>
      <c r="Q243" s="973">
        <f t="shared" si="471"/>
        <v>1</v>
      </c>
      <c r="R243" s="951">
        <f t="shared" si="472"/>
        <v>1</v>
      </c>
      <c r="S243" s="1198" t="s">
        <v>2612</v>
      </c>
      <c r="T243" s="974">
        <v>45107</v>
      </c>
      <c r="U243" s="912" t="s">
        <v>2153</v>
      </c>
      <c r="V243" s="985" t="s">
        <v>2213</v>
      </c>
      <c r="W243" s="952"/>
      <c r="X243" s="975"/>
      <c r="Y243" s="1233">
        <f t="shared" si="473"/>
        <v>5000</v>
      </c>
      <c r="Z243" s="956">
        <f t="shared" si="474"/>
        <v>139343</v>
      </c>
      <c r="AA243" s="971">
        <f t="shared" si="475"/>
        <v>1</v>
      </c>
      <c r="AB243" s="1099">
        <v>0.25</v>
      </c>
      <c r="AC243" s="1099">
        <v>0.25</v>
      </c>
      <c r="AD243" s="1099">
        <v>0.25</v>
      </c>
      <c r="AE243" s="1099">
        <v>0.25</v>
      </c>
      <c r="AF243" s="1099">
        <v>0.25</v>
      </c>
      <c r="AG243" s="1251">
        <v>0</v>
      </c>
      <c r="AH243" s="1223">
        <v>62300000</v>
      </c>
      <c r="AI243" s="1251">
        <v>147530596.86000001</v>
      </c>
      <c r="AJ243" s="1251">
        <v>59970928</v>
      </c>
      <c r="AK243" s="1251">
        <v>0</v>
      </c>
      <c r="AL243" s="959" t="e">
        <f t="shared" si="401"/>
        <v>#DIV/0!</v>
      </c>
      <c r="AM243" s="1223">
        <v>55700000</v>
      </c>
      <c r="AN243" s="1251">
        <v>125728344.86</v>
      </c>
      <c r="AO243" s="1251">
        <v>57886466</v>
      </c>
      <c r="AP243" s="1251"/>
      <c r="AQ243" s="971" t="e">
        <f t="shared" si="402"/>
        <v>#DIV/0!</v>
      </c>
      <c r="AR243" s="958">
        <f t="shared" si="476"/>
        <v>2084462</v>
      </c>
      <c r="AS243" s="1223">
        <v>6600000</v>
      </c>
      <c r="AT243" s="1223">
        <v>6600000</v>
      </c>
      <c r="AU243" s="1223">
        <v>3300029</v>
      </c>
      <c r="AV243" s="1223">
        <v>2831522</v>
      </c>
      <c r="AW243" s="1223">
        <v>2084462</v>
      </c>
      <c r="AX243" s="1223">
        <v>2012049</v>
      </c>
      <c r="AY243" s="999">
        <f t="shared" si="389"/>
        <v>1.0818153557128889</v>
      </c>
      <c r="AZ243" s="1084">
        <v>310000000</v>
      </c>
      <c r="BA243" s="1000">
        <f t="shared" si="404"/>
        <v>269801524.86000001</v>
      </c>
      <c r="BB243" s="973">
        <f t="shared" si="405"/>
        <v>0.87032749954838717</v>
      </c>
      <c r="BC243" s="1029">
        <f t="shared" si="406"/>
        <v>250758381.86000001</v>
      </c>
      <c r="BD243" s="973">
        <f t="shared" si="407"/>
        <v>0.80889800600000006</v>
      </c>
      <c r="BE243" s="1030"/>
      <c r="BF243" s="969"/>
      <c r="BG243" s="953" t="s">
        <v>1703</v>
      </c>
      <c r="BH243" s="1370"/>
    </row>
    <row r="244" spans="1:61" s="908" customFormat="1" ht="82.8" hidden="1">
      <c r="A244" s="1231" t="s">
        <v>2613</v>
      </c>
      <c r="B244" s="1232" t="s">
        <v>2614</v>
      </c>
      <c r="C244" s="948" t="s">
        <v>1056</v>
      </c>
      <c r="D244" s="1256">
        <v>0.1</v>
      </c>
      <c r="E244" s="1256">
        <v>0.1</v>
      </c>
      <c r="F244" s="1256">
        <v>0.1</v>
      </c>
      <c r="G244" s="1256">
        <v>0.1</v>
      </c>
      <c r="H244" s="1256">
        <v>0.1</v>
      </c>
      <c r="I244" s="951">
        <v>0.1</v>
      </c>
      <c r="J244" s="951">
        <v>0.12</v>
      </c>
      <c r="K244" s="957">
        <v>0.1</v>
      </c>
      <c r="L244" s="949"/>
      <c r="M244" s="949"/>
      <c r="N244" s="949"/>
      <c r="O244" s="951">
        <f t="shared" si="471"/>
        <v>1</v>
      </c>
      <c r="P244" s="973">
        <f t="shared" si="471"/>
        <v>1</v>
      </c>
      <c r="Q244" s="973">
        <f t="shared" si="471"/>
        <v>1</v>
      </c>
      <c r="R244" s="951">
        <f t="shared" si="472"/>
        <v>1</v>
      </c>
      <c r="S244" s="908" t="s">
        <v>2615</v>
      </c>
      <c r="T244" s="974">
        <v>45107</v>
      </c>
      <c r="U244" s="912" t="s">
        <v>2153</v>
      </c>
      <c r="V244" s="985" t="s">
        <v>2213</v>
      </c>
      <c r="W244" s="952"/>
      <c r="X244" s="975"/>
      <c r="Y244" s="1256">
        <f t="shared" si="473"/>
        <v>0.4</v>
      </c>
      <c r="Z244" s="1257">
        <f t="shared" si="474"/>
        <v>0.42000000000000004</v>
      </c>
      <c r="AA244" s="971">
        <f t="shared" si="475"/>
        <v>1</v>
      </c>
      <c r="AB244" s="1099">
        <v>0.25</v>
      </c>
      <c r="AC244" s="1099">
        <v>0.25</v>
      </c>
      <c r="AD244" s="1099">
        <v>0.25</v>
      </c>
      <c r="AE244" s="1099">
        <v>0.25</v>
      </c>
      <c r="AF244" s="1099">
        <v>0.25</v>
      </c>
      <c r="AG244" s="1251">
        <v>0</v>
      </c>
      <c r="AH244" s="1223">
        <v>70200000</v>
      </c>
      <c r="AI244" s="1251">
        <v>59002045</v>
      </c>
      <c r="AJ244" s="1251">
        <v>59970928</v>
      </c>
      <c r="AK244" s="1251">
        <v>0</v>
      </c>
      <c r="AL244" s="959" t="e">
        <f t="shared" si="401"/>
        <v>#DIV/0!</v>
      </c>
      <c r="AM244" s="1223">
        <v>66800000</v>
      </c>
      <c r="AN244" s="1251">
        <v>55702016</v>
      </c>
      <c r="AO244" s="1251">
        <v>59088536</v>
      </c>
      <c r="AP244" s="1251"/>
      <c r="AQ244" s="971" t="e">
        <f t="shared" si="402"/>
        <v>#DIV/0!</v>
      </c>
      <c r="AR244" s="958">
        <f t="shared" si="476"/>
        <v>882392</v>
      </c>
      <c r="AS244" s="1223">
        <v>3400000</v>
      </c>
      <c r="AT244" s="1223">
        <v>3400000</v>
      </c>
      <c r="AU244" s="1223">
        <v>2920855</v>
      </c>
      <c r="AV244" s="1223">
        <v>2831522</v>
      </c>
      <c r="AW244" s="1223">
        <v>882392</v>
      </c>
      <c r="AX244" s="1223">
        <v>877045.69</v>
      </c>
      <c r="AY244" s="999">
        <f t="shared" si="389"/>
        <v>2.5702816888639064</v>
      </c>
      <c r="AZ244" s="1084">
        <v>220000000</v>
      </c>
      <c r="BA244" s="1000">
        <f t="shared" si="404"/>
        <v>189172973</v>
      </c>
      <c r="BB244" s="973">
        <f t="shared" si="405"/>
        <v>0.85987714999999998</v>
      </c>
      <c r="BC244" s="1029">
        <f t="shared" si="406"/>
        <v>188699119.69</v>
      </c>
      <c r="BD244" s="973">
        <f t="shared" si="407"/>
        <v>0.85772327131818182</v>
      </c>
      <c r="BE244" s="1030"/>
      <c r="BF244" s="969"/>
      <c r="BG244" s="953" t="s">
        <v>1703</v>
      </c>
      <c r="BH244" s="1255" t="s">
        <v>2150</v>
      </c>
    </row>
    <row r="245" spans="1:61" s="908" customFormat="1" ht="47.4" customHeight="1">
      <c r="A245" s="925" t="s">
        <v>2616</v>
      </c>
      <c r="B245" s="1107"/>
      <c r="C245" s="1107"/>
      <c r="D245" s="1108"/>
      <c r="E245" s="1108"/>
      <c r="F245" s="1108"/>
      <c r="G245" s="1108"/>
      <c r="H245" s="1108"/>
      <c r="I245" s="1108"/>
      <c r="J245" s="1108"/>
      <c r="K245" s="1108"/>
      <c r="L245" s="1108"/>
      <c r="M245" s="1108"/>
      <c r="N245" s="1108"/>
      <c r="O245" s="928">
        <f>+(O246*AC246)</f>
        <v>1</v>
      </c>
      <c r="P245" s="928">
        <f t="shared" ref="P245:Y245" si="477">+(P246*AD246)</f>
        <v>1</v>
      </c>
      <c r="Q245" s="928">
        <f t="shared" si="477"/>
        <v>1</v>
      </c>
      <c r="R245" s="928">
        <f t="shared" si="477"/>
        <v>1</v>
      </c>
      <c r="S245" s="928"/>
      <c r="T245" s="928"/>
      <c r="U245" s="928"/>
      <c r="V245" s="928"/>
      <c r="W245" s="928"/>
      <c r="X245" s="928"/>
      <c r="Y245" s="928">
        <f t="shared" si="477"/>
        <v>0</v>
      </c>
      <c r="Z245" s="928"/>
      <c r="AA245" s="928">
        <f>+(AA246*AB246)</f>
        <v>1</v>
      </c>
      <c r="AB245" s="928">
        <v>0.1</v>
      </c>
      <c r="AC245" s="928">
        <v>0.1</v>
      </c>
      <c r="AD245" s="928">
        <v>0.1</v>
      </c>
      <c r="AE245" s="928">
        <v>0.1</v>
      </c>
      <c r="AF245" s="928">
        <v>0.1</v>
      </c>
      <c r="AG245" s="926">
        <f>+AG246</f>
        <v>212500000</v>
      </c>
      <c r="AH245" s="926">
        <f>+AH246</f>
        <v>92700000</v>
      </c>
      <c r="AI245" s="926">
        <f>+AI246</f>
        <v>246500889</v>
      </c>
      <c r="AJ245" s="926">
        <f>+AJ246</f>
        <v>211140172</v>
      </c>
      <c r="AK245" s="926">
        <f>+AK246</f>
        <v>212496557</v>
      </c>
      <c r="AL245" s="931">
        <f t="shared" si="401"/>
        <v>0.9999837976470588</v>
      </c>
      <c r="AM245" s="926">
        <f>+AM246</f>
        <v>71400000</v>
      </c>
      <c r="AN245" s="926">
        <f>+AN246</f>
        <v>213327183</v>
      </c>
      <c r="AO245" s="926">
        <f>+AO246</f>
        <v>207806687</v>
      </c>
      <c r="AP245" s="926">
        <f>+AP246</f>
        <v>195506344</v>
      </c>
      <c r="AQ245" s="933">
        <f t="shared" si="402"/>
        <v>0.92002985411764704</v>
      </c>
      <c r="AR245" s="926">
        <f t="shared" ref="AR245:AX245" si="478">+AR246</f>
        <v>3333485</v>
      </c>
      <c r="AS245" s="926">
        <f t="shared" si="478"/>
        <v>21300000</v>
      </c>
      <c r="AT245" s="926">
        <f t="shared" si="478"/>
        <v>21300000</v>
      </c>
      <c r="AU245" s="926">
        <f t="shared" si="478"/>
        <v>33173706</v>
      </c>
      <c r="AV245" s="926">
        <f t="shared" si="478"/>
        <v>21595621</v>
      </c>
      <c r="AW245" s="926">
        <f t="shared" si="478"/>
        <v>3333485</v>
      </c>
      <c r="AX245" s="926">
        <f t="shared" si="478"/>
        <v>3168606</v>
      </c>
      <c r="AY245" s="1111">
        <f t="shared" si="389"/>
        <v>0.60358723678072645</v>
      </c>
      <c r="AZ245" s="926">
        <f t="shared" ref="AZ245" si="479">+AZ246</f>
        <v>967500000</v>
      </c>
      <c r="BA245" s="926">
        <f t="shared" si="404"/>
        <v>762837618</v>
      </c>
      <c r="BB245" s="1109">
        <f t="shared" si="405"/>
        <v>0.78846265426356588</v>
      </c>
      <c r="BC245" s="1230">
        <f t="shared" si="406"/>
        <v>734104441</v>
      </c>
      <c r="BD245" s="1109">
        <f t="shared" si="407"/>
        <v>0.75876428010335917</v>
      </c>
      <c r="BE245" s="926"/>
      <c r="BF245" s="926" t="s">
        <v>1702</v>
      </c>
      <c r="BG245" s="926"/>
      <c r="BH245" s="926"/>
    </row>
    <row r="246" spans="1:61" s="908" customFormat="1" ht="47.4" customHeight="1">
      <c r="A246" s="936" t="s">
        <v>2617</v>
      </c>
      <c r="B246" s="937"/>
      <c r="C246" s="937"/>
      <c r="D246" s="938"/>
      <c r="E246" s="938"/>
      <c r="F246" s="938"/>
      <c r="G246" s="938"/>
      <c r="H246" s="938"/>
      <c r="I246" s="938"/>
      <c r="J246" s="938"/>
      <c r="K246" s="938"/>
      <c r="L246" s="938"/>
      <c r="M246" s="938"/>
      <c r="N246" s="938"/>
      <c r="O246" s="939">
        <f>+SUMPRODUCT(O247:O249,AC247:AC249)</f>
        <v>1</v>
      </c>
      <c r="P246" s="939">
        <f t="shared" ref="P246:R246" si="480">+SUMPRODUCT(P247:P249,AD247:AD249)</f>
        <v>1</v>
      </c>
      <c r="Q246" s="939">
        <f t="shared" si="480"/>
        <v>1</v>
      </c>
      <c r="R246" s="939">
        <f t="shared" si="480"/>
        <v>1</v>
      </c>
      <c r="S246" s="1178"/>
      <c r="T246" s="1178"/>
      <c r="U246" s="937"/>
      <c r="V246" s="937"/>
      <c r="W246" s="937"/>
      <c r="X246" s="1178"/>
      <c r="Y246" s="1102"/>
      <c r="Z246" s="940"/>
      <c r="AA246" s="1017">
        <f>+SUMPRODUCT(AA247:AA249,AB247:AB249)</f>
        <v>1</v>
      </c>
      <c r="AB246" s="1017">
        <v>1</v>
      </c>
      <c r="AC246" s="1017">
        <v>1</v>
      </c>
      <c r="AD246" s="1017">
        <v>1</v>
      </c>
      <c r="AE246" s="939">
        <v>1</v>
      </c>
      <c r="AF246" s="939">
        <v>1</v>
      </c>
      <c r="AG246" s="1016">
        <f>SUM(AG247:AG249)</f>
        <v>212500000</v>
      </c>
      <c r="AH246" s="1016">
        <f>SUM(AH247:AH249)</f>
        <v>92700000</v>
      </c>
      <c r="AI246" s="1016">
        <f>SUM(AI247:AI249)</f>
        <v>246500889</v>
      </c>
      <c r="AJ246" s="1016">
        <f>SUM(AJ247:AJ249)</f>
        <v>211140172</v>
      </c>
      <c r="AK246" s="1016">
        <f>SUM(AK247:AK249)</f>
        <v>212496557</v>
      </c>
      <c r="AL246" s="1040">
        <f t="shared" si="401"/>
        <v>0.9999837976470588</v>
      </c>
      <c r="AM246" s="1016">
        <f>SUM(AM247:AM249)</f>
        <v>71400000</v>
      </c>
      <c r="AN246" s="1016">
        <f>SUM(AN247:AN249)</f>
        <v>213327183</v>
      </c>
      <c r="AO246" s="1016">
        <f>SUM(AO247:AO249)</f>
        <v>207806687</v>
      </c>
      <c r="AP246" s="1016">
        <f>SUM(AP247:AP249)</f>
        <v>195506344</v>
      </c>
      <c r="AQ246" s="1045">
        <f t="shared" si="402"/>
        <v>0.92002985411764704</v>
      </c>
      <c r="AR246" s="1042">
        <f t="shared" ref="AR246:AX246" si="481">SUM(AR247:AR249)</f>
        <v>3333485</v>
      </c>
      <c r="AS246" s="1016">
        <f t="shared" si="481"/>
        <v>21300000</v>
      </c>
      <c r="AT246" s="1016">
        <f t="shared" si="481"/>
        <v>21300000</v>
      </c>
      <c r="AU246" s="1016">
        <f t="shared" si="481"/>
        <v>33173706</v>
      </c>
      <c r="AV246" s="1016">
        <f t="shared" si="481"/>
        <v>21595621</v>
      </c>
      <c r="AW246" s="1016">
        <f t="shared" si="481"/>
        <v>3333485</v>
      </c>
      <c r="AX246" s="1016">
        <f t="shared" si="481"/>
        <v>3168606</v>
      </c>
      <c r="AY246" s="1043">
        <f t="shared" si="389"/>
        <v>0.26310173587101787</v>
      </c>
      <c r="AZ246" s="1016">
        <f t="shared" ref="AZ246" si="482">SUM(AZ247:AZ249)</f>
        <v>967500000</v>
      </c>
      <c r="BA246" s="1016">
        <f t="shared" si="404"/>
        <v>762837618</v>
      </c>
      <c r="BB246" s="1017">
        <f t="shared" si="405"/>
        <v>0.78846265426356588</v>
      </c>
      <c r="BC246" s="1018">
        <f t="shared" si="406"/>
        <v>734104441</v>
      </c>
      <c r="BD246" s="1017">
        <f t="shared" si="407"/>
        <v>0.75876428010335917</v>
      </c>
      <c r="BE246" s="1042"/>
      <c r="BF246" s="1042"/>
      <c r="BG246" s="1042"/>
      <c r="BH246" s="945"/>
    </row>
    <row r="247" spans="1:61" s="908" customFormat="1" ht="62.25" hidden="1" customHeight="1">
      <c r="A247" s="1220" t="s">
        <v>2618</v>
      </c>
      <c r="B247" s="980" t="s">
        <v>2619</v>
      </c>
      <c r="C247" s="980" t="s">
        <v>2108</v>
      </c>
      <c r="D247" s="1258">
        <v>0.1</v>
      </c>
      <c r="E247" s="1221">
        <v>1</v>
      </c>
      <c r="F247" s="1221">
        <v>1</v>
      </c>
      <c r="G247" s="1221">
        <v>0</v>
      </c>
      <c r="H247" s="1221">
        <v>0</v>
      </c>
      <c r="I247" s="949">
        <v>1</v>
      </c>
      <c r="J247" s="949">
        <v>1</v>
      </c>
      <c r="K247" s="949">
        <v>1</v>
      </c>
      <c r="L247" s="986">
        <v>0.1</v>
      </c>
      <c r="M247" s="949"/>
      <c r="N247" s="949"/>
      <c r="O247" s="951">
        <f t="shared" ref="O247:Q249" si="483">+IFERROR(IF((H247+L247)/D247&gt;=100%,100%,(H247+L247)/D247),0)</f>
        <v>1</v>
      </c>
      <c r="P247" s="973">
        <f t="shared" si="483"/>
        <v>1</v>
      </c>
      <c r="Q247" s="973">
        <f t="shared" si="483"/>
        <v>1</v>
      </c>
      <c r="R247" s="951">
        <f t="shared" ref="R247:R249" si="484">+IFERROR(IF(K247/G247&gt;=100%,100%,K247/G247),0)</f>
        <v>0</v>
      </c>
      <c r="U247" s="954"/>
      <c r="V247" s="912"/>
      <c r="W247" s="953"/>
      <c r="Y247" s="985">
        <f t="shared" ref="Y247:Y249" si="485">SUM(D247:G247)</f>
        <v>2.1</v>
      </c>
      <c r="Z247" s="956">
        <f t="shared" ref="Z247:Z249" si="486">SUM(H247:N247)</f>
        <v>3.1</v>
      </c>
      <c r="AA247" s="1026">
        <f t="shared" ref="AA247:AA249" si="487">IF(Z247/Y247&gt;=100%,100%,Z247/Y247)</f>
        <v>1</v>
      </c>
      <c r="AB247" s="1222">
        <v>0.4</v>
      </c>
      <c r="AC247" s="1222">
        <v>0</v>
      </c>
      <c r="AD247" s="1222">
        <v>0.4</v>
      </c>
      <c r="AE247" s="1226">
        <v>0.55000000000000004</v>
      </c>
      <c r="AF247" s="1226">
        <v>0</v>
      </c>
      <c r="AG247" s="1259">
        <v>0</v>
      </c>
      <c r="AH247" s="1223">
        <v>0</v>
      </c>
      <c r="AI247" s="1259">
        <v>99068176</v>
      </c>
      <c r="AJ247" s="1259">
        <v>99948316</v>
      </c>
      <c r="AK247" s="1259">
        <v>0</v>
      </c>
      <c r="AL247" s="1025" t="e">
        <f t="shared" si="401"/>
        <v>#DIV/0!</v>
      </c>
      <c r="AM247" s="1223">
        <v>0</v>
      </c>
      <c r="AN247" s="1259">
        <v>83226826</v>
      </c>
      <c r="AO247" s="1259">
        <v>98379617</v>
      </c>
      <c r="AP247" s="1259"/>
      <c r="AQ247" s="1026" t="e">
        <f t="shared" si="402"/>
        <v>#DIV/0!</v>
      </c>
      <c r="AR247" s="958">
        <f t="shared" ref="AR247:AR249" si="488">+AJ247-AO247</f>
        <v>1568699</v>
      </c>
      <c r="AS247" s="1223">
        <v>0</v>
      </c>
      <c r="AT247" s="1223">
        <v>0</v>
      </c>
      <c r="AU247" s="1223">
        <v>15841350</v>
      </c>
      <c r="AV247" s="1223">
        <v>15364741</v>
      </c>
      <c r="AW247" s="1223">
        <v>1568699</v>
      </c>
      <c r="AX247" s="1223">
        <v>1491109</v>
      </c>
      <c r="AY247" s="1027">
        <f t="shared" si="389"/>
        <v>2.0198941925761411</v>
      </c>
      <c r="AZ247" s="1028">
        <v>350000000</v>
      </c>
      <c r="BA247" s="1000">
        <f t="shared" si="404"/>
        <v>199016492</v>
      </c>
      <c r="BB247" s="973">
        <f t="shared" si="405"/>
        <v>0.56861854857142857</v>
      </c>
      <c r="BC247" s="1029">
        <f t="shared" si="406"/>
        <v>198462293</v>
      </c>
      <c r="BD247" s="973">
        <f t="shared" si="407"/>
        <v>0.56703512285714286</v>
      </c>
      <c r="BE247" s="1030"/>
      <c r="BF247" s="1030"/>
      <c r="BG247" s="952" t="s">
        <v>1703</v>
      </c>
      <c r="BH247" s="1260" t="s">
        <v>2150</v>
      </c>
    </row>
    <row r="248" spans="1:61" s="908" customFormat="1" ht="47.4" customHeight="1">
      <c r="A248" s="1220" t="s">
        <v>2620</v>
      </c>
      <c r="B248" s="980" t="s">
        <v>2621</v>
      </c>
      <c r="C248" s="948" t="s">
        <v>1056</v>
      </c>
      <c r="D248" s="1219">
        <v>1</v>
      </c>
      <c r="E248" s="1219">
        <v>1</v>
      </c>
      <c r="F248" s="1219">
        <v>1</v>
      </c>
      <c r="G248" s="1219">
        <v>1</v>
      </c>
      <c r="H248" s="1219">
        <v>1</v>
      </c>
      <c r="I248" s="951">
        <v>1</v>
      </c>
      <c r="J248" s="951">
        <v>1</v>
      </c>
      <c r="K248" s="951">
        <v>1</v>
      </c>
      <c r="L248" s="949"/>
      <c r="M248" s="949"/>
      <c r="N248" s="949"/>
      <c r="O248" s="951">
        <f t="shared" si="483"/>
        <v>1</v>
      </c>
      <c r="P248" s="973">
        <f t="shared" si="483"/>
        <v>1</v>
      </c>
      <c r="Q248" s="973">
        <f t="shared" si="483"/>
        <v>1</v>
      </c>
      <c r="R248" s="951">
        <f t="shared" si="484"/>
        <v>1</v>
      </c>
      <c r="S248" s="908" t="s">
        <v>2622</v>
      </c>
      <c r="T248" s="974">
        <v>45107</v>
      </c>
      <c r="U248" s="985"/>
      <c r="V248" s="985"/>
      <c r="W248" s="952"/>
      <c r="X248" s="975"/>
      <c r="Y248" s="1227">
        <f t="shared" si="485"/>
        <v>4</v>
      </c>
      <c r="Z248" s="977">
        <f t="shared" si="486"/>
        <v>4</v>
      </c>
      <c r="AA248" s="1026">
        <f t="shared" si="487"/>
        <v>1</v>
      </c>
      <c r="AB248" s="1222">
        <v>0.3</v>
      </c>
      <c r="AC248" s="1222">
        <v>1</v>
      </c>
      <c r="AD248" s="1222">
        <v>0.3</v>
      </c>
      <c r="AE248" s="1226">
        <v>0.45</v>
      </c>
      <c r="AF248" s="1226">
        <v>1</v>
      </c>
      <c r="AG248" s="1251">
        <v>212500000</v>
      </c>
      <c r="AH248" s="1223">
        <v>92700000</v>
      </c>
      <c r="AI248" s="1259">
        <v>69223482</v>
      </c>
      <c r="AJ248" s="1259">
        <v>111191856</v>
      </c>
      <c r="AK248" s="1259">
        <v>212496557</v>
      </c>
      <c r="AL248" s="1025">
        <f t="shared" si="401"/>
        <v>0.9999837976470588</v>
      </c>
      <c r="AM248" s="1223">
        <v>71400000</v>
      </c>
      <c r="AN248" s="1259">
        <v>56655687</v>
      </c>
      <c r="AO248" s="1259">
        <v>109427070</v>
      </c>
      <c r="AP248" s="1259">
        <v>195506344</v>
      </c>
      <c r="AQ248" s="1026">
        <f t="shared" si="402"/>
        <v>0.92002985411764704</v>
      </c>
      <c r="AR248" s="958">
        <f t="shared" si="488"/>
        <v>1764786</v>
      </c>
      <c r="AS248" s="1223">
        <v>21300000</v>
      </c>
      <c r="AT248" s="1223">
        <v>21300000</v>
      </c>
      <c r="AU248" s="1223">
        <v>12567795</v>
      </c>
      <c r="AV248" s="1223">
        <v>2203244</v>
      </c>
      <c r="AW248" s="1223">
        <v>1764786</v>
      </c>
      <c r="AX248" s="1223">
        <v>1677497</v>
      </c>
      <c r="AY248" s="1027">
        <f t="shared" si="389"/>
        <v>1.7954618860303742</v>
      </c>
      <c r="AZ248" s="1028">
        <v>537500000</v>
      </c>
      <c r="BA248" s="1000">
        <f t="shared" si="404"/>
        <v>485611895</v>
      </c>
      <c r="BB248" s="973">
        <f t="shared" si="405"/>
        <v>0.90346399069767447</v>
      </c>
      <c r="BC248" s="1029">
        <f t="shared" si="406"/>
        <v>458169842</v>
      </c>
      <c r="BD248" s="973">
        <f t="shared" si="407"/>
        <v>0.85240900837209299</v>
      </c>
      <c r="BE248" s="1030"/>
      <c r="BF248" s="1030"/>
      <c r="BG248" s="952" t="s">
        <v>1703</v>
      </c>
      <c r="BH248" s="1261" t="s">
        <v>2150</v>
      </c>
    </row>
    <row r="249" spans="1:61" s="908" customFormat="1" ht="50.25" hidden="1" customHeight="1">
      <c r="A249" s="1220" t="s">
        <v>2623</v>
      </c>
      <c r="B249" s="980" t="s">
        <v>2624</v>
      </c>
      <c r="C249" s="980" t="s">
        <v>2108</v>
      </c>
      <c r="D249" s="1221">
        <v>0</v>
      </c>
      <c r="E249" s="1221">
        <v>1</v>
      </c>
      <c r="F249" s="1221">
        <v>0</v>
      </c>
      <c r="G249" s="1221">
        <v>0</v>
      </c>
      <c r="H249" s="1221">
        <v>0</v>
      </c>
      <c r="I249" s="949">
        <v>0</v>
      </c>
      <c r="J249" s="949">
        <v>0</v>
      </c>
      <c r="K249" s="949"/>
      <c r="L249" s="949"/>
      <c r="M249" s="949">
        <v>1</v>
      </c>
      <c r="N249" s="949"/>
      <c r="O249" s="951">
        <f t="shared" si="483"/>
        <v>0</v>
      </c>
      <c r="P249" s="973">
        <f t="shared" si="483"/>
        <v>1</v>
      </c>
      <c r="Q249" s="951">
        <f t="shared" si="483"/>
        <v>0</v>
      </c>
      <c r="R249" s="951">
        <f t="shared" si="484"/>
        <v>0</v>
      </c>
      <c r="U249" s="954"/>
      <c r="V249" s="912"/>
      <c r="W249" s="953"/>
      <c r="Y249" s="912">
        <f t="shared" si="485"/>
        <v>1</v>
      </c>
      <c r="Z249" s="956">
        <f t="shared" si="486"/>
        <v>1</v>
      </c>
      <c r="AA249" s="971">
        <f t="shared" si="487"/>
        <v>1</v>
      </c>
      <c r="AB249" s="1222">
        <v>0.3</v>
      </c>
      <c r="AC249" s="1222">
        <v>0</v>
      </c>
      <c r="AD249" s="1222">
        <v>0.3</v>
      </c>
      <c r="AE249" s="1222">
        <v>0</v>
      </c>
      <c r="AF249" s="951">
        <v>0</v>
      </c>
      <c r="AG249" s="1223">
        <v>0</v>
      </c>
      <c r="AH249" s="1223">
        <v>0</v>
      </c>
      <c r="AI249" s="1262">
        <v>78209231</v>
      </c>
      <c r="AJ249" s="1262">
        <v>0</v>
      </c>
      <c r="AK249" s="1262">
        <v>0</v>
      </c>
      <c r="AL249" s="959" t="e">
        <f t="shared" si="401"/>
        <v>#DIV/0!</v>
      </c>
      <c r="AM249" s="1223">
        <v>0</v>
      </c>
      <c r="AN249" s="1262">
        <v>73444670</v>
      </c>
      <c r="AO249" s="1262">
        <v>0</v>
      </c>
      <c r="AP249" s="1262"/>
      <c r="AQ249" s="971" t="e">
        <f t="shared" si="402"/>
        <v>#DIV/0!</v>
      </c>
      <c r="AR249" s="958">
        <f t="shared" si="488"/>
        <v>0</v>
      </c>
      <c r="AS249" s="1223">
        <v>0</v>
      </c>
      <c r="AT249" s="1223">
        <v>0</v>
      </c>
      <c r="AU249" s="1223">
        <v>4764561</v>
      </c>
      <c r="AV249" s="1223">
        <v>4027636</v>
      </c>
      <c r="AW249" s="1223"/>
      <c r="AX249" s="1223"/>
      <c r="AY249" s="999" t="e">
        <f t="shared" si="389"/>
        <v>#DIV/0!</v>
      </c>
      <c r="AZ249" s="964">
        <v>80000000</v>
      </c>
      <c r="BA249" s="1000">
        <f t="shared" si="404"/>
        <v>78209231</v>
      </c>
      <c r="BB249" s="951">
        <f t="shared" si="405"/>
        <v>0.97761538749999999</v>
      </c>
      <c r="BC249" s="1001">
        <f t="shared" si="406"/>
        <v>77472306</v>
      </c>
      <c r="BD249" s="951">
        <f t="shared" si="407"/>
        <v>0.968403825</v>
      </c>
      <c r="BE249" s="969"/>
      <c r="BF249" s="969"/>
      <c r="BG249" s="953" t="s">
        <v>1703</v>
      </c>
      <c r="BH249" s="1261" t="s">
        <v>2150</v>
      </c>
    </row>
    <row r="250" spans="1:61" s="935" customFormat="1" ht="47.4" customHeight="1">
      <c r="A250" s="925" t="s">
        <v>2625</v>
      </c>
      <c r="B250" s="926"/>
      <c r="C250" s="926"/>
      <c r="D250" s="927"/>
      <c r="E250" s="927"/>
      <c r="F250" s="1108"/>
      <c r="G250" s="1108"/>
      <c r="H250" s="927"/>
      <c r="I250" s="927"/>
      <c r="J250" s="1108"/>
      <c r="K250" s="1108"/>
      <c r="L250" s="927"/>
      <c r="M250" s="927"/>
      <c r="N250" s="927"/>
      <c r="O250" s="928">
        <f>+(O251*AC251)+(O257*AC257)</f>
        <v>0.95500000000000007</v>
      </c>
      <c r="P250" s="928">
        <f t="shared" ref="P250:R250" si="489">+(P251*AD251)+(P257*AD257)</f>
        <v>0.99999999999999989</v>
      </c>
      <c r="Q250" s="928">
        <f t="shared" si="489"/>
        <v>0.99999999999999989</v>
      </c>
      <c r="R250" s="928">
        <f t="shared" si="489"/>
        <v>1</v>
      </c>
      <c r="S250" s="1176"/>
      <c r="T250" s="1176"/>
      <c r="U250" s="926"/>
      <c r="V250" s="926"/>
      <c r="W250" s="926"/>
      <c r="X250" s="1176"/>
      <c r="Y250" s="1177"/>
      <c r="Z250" s="929"/>
      <c r="AA250" s="928">
        <f>+(AA251*AB251)+(AA257*AB257)</f>
        <v>0.69437499999999996</v>
      </c>
      <c r="AB250" s="928">
        <v>0.1</v>
      </c>
      <c r="AC250" s="928">
        <v>0.1</v>
      </c>
      <c r="AD250" s="928">
        <v>0.1</v>
      </c>
      <c r="AE250" s="928">
        <v>0.1</v>
      </c>
      <c r="AF250" s="928">
        <v>0.1</v>
      </c>
      <c r="AG250" s="926">
        <f>+AG251+AG257</f>
        <v>896500000</v>
      </c>
      <c r="AH250" s="926">
        <f>+AH251+AH257</f>
        <v>163061300</v>
      </c>
      <c r="AI250" s="926">
        <f>+AI251+AI257</f>
        <v>636452502</v>
      </c>
      <c r="AJ250" s="926">
        <f>+AJ251+AJ257</f>
        <v>735078520</v>
      </c>
      <c r="AK250" s="926">
        <f>+AK251+AK257</f>
        <v>894971043.63999999</v>
      </c>
      <c r="AL250" s="931">
        <f t="shared" si="401"/>
        <v>0.99829452720580036</v>
      </c>
      <c r="AM250" s="926">
        <f>+AM251+AM257</f>
        <v>44000000</v>
      </c>
      <c r="AN250" s="926">
        <f>+AN251+AN257</f>
        <v>489310270</v>
      </c>
      <c r="AO250" s="926">
        <f>+AO251+AO257</f>
        <v>679719104</v>
      </c>
      <c r="AP250" s="926">
        <f>+AP251+AP257</f>
        <v>764251164.63999999</v>
      </c>
      <c r="AQ250" s="933">
        <f t="shared" si="402"/>
        <v>0.85248317305075294</v>
      </c>
      <c r="AR250" s="926">
        <f t="shared" ref="AR250:AX250" si="490">+AR251+AR257</f>
        <v>55359416</v>
      </c>
      <c r="AS250" s="926">
        <f t="shared" si="490"/>
        <v>119061300</v>
      </c>
      <c r="AT250" s="926">
        <f t="shared" si="490"/>
        <v>119061300</v>
      </c>
      <c r="AU250" s="926">
        <f t="shared" si="490"/>
        <v>147142232</v>
      </c>
      <c r="AV250" s="926">
        <f t="shared" si="490"/>
        <v>130808605</v>
      </c>
      <c r="AW250" s="926">
        <f t="shared" si="490"/>
        <v>55359416</v>
      </c>
      <c r="AX250" s="926">
        <f t="shared" si="490"/>
        <v>54608808</v>
      </c>
      <c r="AY250" s="934">
        <f t="shared" si="389"/>
        <v>3.0301927318019395E-2</v>
      </c>
      <c r="AZ250" s="926">
        <f t="shared" ref="AZ250" si="491">+AZ251+AZ257</f>
        <v>2824500000</v>
      </c>
      <c r="BA250" s="926">
        <f t="shared" si="404"/>
        <v>2429563365.6399999</v>
      </c>
      <c r="BB250" s="928">
        <f t="shared" si="405"/>
        <v>0.86017467362010969</v>
      </c>
      <c r="BC250" s="1010">
        <f t="shared" si="406"/>
        <v>2281759251.6399999</v>
      </c>
      <c r="BD250" s="928">
        <f t="shared" si="407"/>
        <v>0.80784537144273316</v>
      </c>
      <c r="BE250" s="926"/>
      <c r="BF250" s="926" t="s">
        <v>1702</v>
      </c>
      <c r="BG250" s="926"/>
      <c r="BH250" s="926"/>
      <c r="BI250" s="935" t="s">
        <v>2103</v>
      </c>
    </row>
    <row r="251" spans="1:61" s="908" customFormat="1" ht="47.4" customHeight="1">
      <c r="A251" s="936" t="s">
        <v>2626</v>
      </c>
      <c r="B251" s="937"/>
      <c r="C251" s="937"/>
      <c r="D251" s="938"/>
      <c r="E251" s="938"/>
      <c r="F251" s="938"/>
      <c r="G251" s="938"/>
      <c r="H251" s="938"/>
      <c r="I251" s="938"/>
      <c r="J251" s="938"/>
      <c r="K251" s="938"/>
      <c r="L251" s="938"/>
      <c r="M251" s="938"/>
      <c r="N251" s="938"/>
      <c r="O251" s="939">
        <f>+SUMPRODUCT(O252:O256,AC252:AC256)</f>
        <v>0.92500000000000004</v>
      </c>
      <c r="P251" s="939">
        <f t="shared" ref="P251:R251" si="492">+SUMPRODUCT(P252:P256,AD252:AD256)</f>
        <v>0.99999999999999989</v>
      </c>
      <c r="Q251" s="939">
        <f t="shared" si="492"/>
        <v>0.99999999999999989</v>
      </c>
      <c r="R251" s="939">
        <f t="shared" si="492"/>
        <v>1</v>
      </c>
      <c r="S251" s="939"/>
      <c r="T251" s="939">
        <f t="shared" ref="T251:X251" si="493">+SUMPRODUCT(T252:T253,AH252:AH253)</f>
        <v>4739000059100</v>
      </c>
      <c r="U251" s="939">
        <f t="shared" si="493"/>
        <v>0</v>
      </c>
      <c r="V251" s="939">
        <f t="shared" si="493"/>
        <v>0</v>
      </c>
      <c r="W251" s="939">
        <f t="shared" si="493"/>
        <v>0</v>
      </c>
      <c r="X251" s="939">
        <f t="shared" si="493"/>
        <v>244.62597342580645</v>
      </c>
      <c r="Y251" s="939"/>
      <c r="Z251" s="939"/>
      <c r="AA251" s="939">
        <f>+SUMPRODUCT(AA252:AA253,AB252:AB253)</f>
        <v>0.49062499999999998</v>
      </c>
      <c r="AB251" s="939">
        <v>0.6</v>
      </c>
      <c r="AC251" s="939">
        <v>0.6</v>
      </c>
      <c r="AD251" s="939">
        <v>0.6</v>
      </c>
      <c r="AE251" s="939">
        <v>0.6</v>
      </c>
      <c r="AF251" s="939">
        <v>0.6</v>
      </c>
      <c r="AG251" s="937">
        <f>SUM(AG252:AG256)</f>
        <v>574000000</v>
      </c>
      <c r="AH251" s="937">
        <f>SUM(AH252:AH256)</f>
        <v>105061300</v>
      </c>
      <c r="AI251" s="937">
        <f>SUM(AI252:AI256)</f>
        <v>414875620</v>
      </c>
      <c r="AJ251" s="937">
        <f>SUM(AJ252:AJ256)</f>
        <v>502698578</v>
      </c>
      <c r="AK251" s="937">
        <f>SUM(AK252:AK256)</f>
        <v>572475684.63999999</v>
      </c>
      <c r="AL251" s="943">
        <f t="shared" si="401"/>
        <v>0.99734439832752608</v>
      </c>
      <c r="AM251" s="937">
        <f>SUM(AM252:AM256)</f>
        <v>0</v>
      </c>
      <c r="AN251" s="937">
        <f>SUM(AN252:AN256)</f>
        <v>340159917</v>
      </c>
      <c r="AO251" s="937">
        <f>SUM(AO252:AO256)</f>
        <v>451596433</v>
      </c>
      <c r="AP251" s="937">
        <f>SUM(AP252:AP256)</f>
        <v>452485869.63999999</v>
      </c>
      <c r="AQ251" s="944">
        <f t="shared" si="402"/>
        <v>0.78830290878048781</v>
      </c>
      <c r="AR251" s="945">
        <f t="shared" ref="AR251:AX251" si="494">SUM(AR252:AR256)</f>
        <v>51102145</v>
      </c>
      <c r="AS251" s="937">
        <f t="shared" si="494"/>
        <v>105061300</v>
      </c>
      <c r="AT251" s="937">
        <f t="shared" si="494"/>
        <v>105061300</v>
      </c>
      <c r="AU251" s="937">
        <f t="shared" si="494"/>
        <v>74715703</v>
      </c>
      <c r="AV251" s="937">
        <f t="shared" si="494"/>
        <v>70079100</v>
      </c>
      <c r="AW251" s="937">
        <f t="shared" si="494"/>
        <v>51102145</v>
      </c>
      <c r="AX251" s="937">
        <f t="shared" si="494"/>
        <v>50544030</v>
      </c>
      <c r="AY251" s="946">
        <f t="shared" si="389"/>
        <v>0</v>
      </c>
      <c r="AZ251" s="937">
        <f t="shared" ref="AZ251" si="495">SUM(AZ252:AZ256)</f>
        <v>1852000000</v>
      </c>
      <c r="BA251" s="937">
        <f t="shared" si="404"/>
        <v>1595111182.6399999</v>
      </c>
      <c r="BB251" s="939">
        <f t="shared" si="405"/>
        <v>0.86129113533477319</v>
      </c>
      <c r="BC251" s="1005">
        <f t="shared" si="406"/>
        <v>1469926649.6399999</v>
      </c>
      <c r="BD251" s="939">
        <f t="shared" si="407"/>
        <v>0.79369689505399565</v>
      </c>
      <c r="BE251" s="945"/>
      <c r="BF251" s="945"/>
      <c r="BG251" s="945"/>
      <c r="BH251" s="945"/>
      <c r="BI251" s="908" t="s">
        <v>2103</v>
      </c>
    </row>
    <row r="252" spans="1:61" s="908" customFormat="1" ht="47.4" customHeight="1">
      <c r="A252" s="1231" t="s">
        <v>2627</v>
      </c>
      <c r="B252" s="1232" t="s">
        <v>2628</v>
      </c>
      <c r="C252" s="948" t="s">
        <v>1056</v>
      </c>
      <c r="D252" s="1219">
        <v>1</v>
      </c>
      <c r="E252" s="1219">
        <v>1</v>
      </c>
      <c r="F252" s="1219">
        <v>1</v>
      </c>
      <c r="G252" s="1219">
        <v>1</v>
      </c>
      <c r="H252" s="951">
        <v>0.7</v>
      </c>
      <c r="I252" s="951">
        <v>1</v>
      </c>
      <c r="J252" s="951">
        <v>1</v>
      </c>
      <c r="K252" s="951">
        <v>1</v>
      </c>
      <c r="L252" s="951">
        <v>0.15</v>
      </c>
      <c r="M252" s="951"/>
      <c r="N252" s="951"/>
      <c r="O252" s="973">
        <f t="shared" ref="O252:Q256" si="496">+IFERROR(IF((H252+L252)/D252&gt;=100%,100%,(H252+L252)/D252),0)</f>
        <v>0.85</v>
      </c>
      <c r="P252" s="973">
        <f t="shared" si="496"/>
        <v>1</v>
      </c>
      <c r="Q252" s="973">
        <f t="shared" si="496"/>
        <v>1</v>
      </c>
      <c r="R252" s="951">
        <f t="shared" ref="R252:R256" si="497">+IFERROR(IF(K252/G252&gt;=100%,100%,K252/G252),0)</f>
        <v>1</v>
      </c>
      <c r="S252" s="1198" t="s">
        <v>2629</v>
      </c>
      <c r="T252" s="974">
        <v>45107</v>
      </c>
      <c r="U252" s="985" t="s">
        <v>2115</v>
      </c>
      <c r="V252" s="985"/>
      <c r="W252" s="952" t="s">
        <v>2116</v>
      </c>
      <c r="X252" s="976">
        <v>245</v>
      </c>
      <c r="Y252" s="1256">
        <f t="shared" ref="Y252:Y256" si="498">SUM(D252:G252)</f>
        <v>4</v>
      </c>
      <c r="Z252" s="977">
        <f t="shared" ref="Z252:Z256" si="499">SUM(H252:N252)</f>
        <v>3.85</v>
      </c>
      <c r="AA252" s="1026">
        <f t="shared" ref="AA252:AA256" si="500">IF(Z252/Y252&gt;=100%,100%,Z252/Y252)</f>
        <v>0.96250000000000002</v>
      </c>
      <c r="AB252" s="1234">
        <v>0.25</v>
      </c>
      <c r="AC252" s="1234">
        <v>0.5</v>
      </c>
      <c r="AD252" s="1234">
        <v>0.25</v>
      </c>
      <c r="AE252" s="951">
        <v>0.25</v>
      </c>
      <c r="AF252" s="951">
        <v>0.39</v>
      </c>
      <c r="AG252" s="1240">
        <v>434000000</v>
      </c>
      <c r="AH252" s="1245">
        <v>105061300</v>
      </c>
      <c r="AI252" s="1240">
        <v>98248570</v>
      </c>
      <c r="AJ252" s="1240">
        <v>152980472</v>
      </c>
      <c r="AK252" s="1240">
        <v>433337438.63999999</v>
      </c>
      <c r="AL252" s="1025">
        <f t="shared" si="401"/>
        <v>0.99847336092165895</v>
      </c>
      <c r="AM252" s="1245">
        <v>0</v>
      </c>
      <c r="AN252" s="1240">
        <v>62456946</v>
      </c>
      <c r="AO252" s="1240">
        <v>111305141</v>
      </c>
      <c r="AP252" s="1240">
        <v>361808138.63999999</v>
      </c>
      <c r="AQ252" s="1026">
        <f t="shared" si="402"/>
        <v>0.83365930562211976</v>
      </c>
      <c r="AR252" s="958">
        <f t="shared" ref="AR252:AR256" si="501">+AJ252-AO252</f>
        <v>41675331</v>
      </c>
      <c r="AS252" s="1245">
        <v>105061300</v>
      </c>
      <c r="AT252" s="1245">
        <v>105061300</v>
      </c>
      <c r="AU252" s="1245">
        <v>35791624</v>
      </c>
      <c r="AV252" s="1245">
        <v>34895802</v>
      </c>
      <c r="AW252" s="1245">
        <v>41675331</v>
      </c>
      <c r="AX252" s="1245">
        <v>41438741</v>
      </c>
      <c r="AY252" s="1027">
        <f t="shared" si="389"/>
        <v>1.3103389148846831</v>
      </c>
      <c r="AZ252" s="1071">
        <v>868000000</v>
      </c>
      <c r="BA252" s="1000">
        <f t="shared" si="404"/>
        <v>789627780.63999999</v>
      </c>
      <c r="BB252" s="973">
        <f t="shared" si="405"/>
        <v>0.90970942470046079</v>
      </c>
      <c r="BC252" s="1029">
        <f t="shared" si="406"/>
        <v>716966068.63999999</v>
      </c>
      <c r="BD252" s="973">
        <f t="shared" si="407"/>
        <v>0.82599777493087556</v>
      </c>
      <c r="BE252" s="969"/>
      <c r="BF252" s="969"/>
      <c r="BG252" s="953" t="s">
        <v>1703</v>
      </c>
      <c r="BH252" s="1236" t="s">
        <v>2150</v>
      </c>
      <c r="BI252" s="908" t="s">
        <v>2103</v>
      </c>
    </row>
    <row r="253" spans="1:61" s="908" customFormat="1" ht="47.4" customHeight="1">
      <c r="A253" s="1231" t="s">
        <v>2630</v>
      </c>
      <c r="B253" s="1232" t="s">
        <v>2631</v>
      </c>
      <c r="C253" s="948" t="s">
        <v>1056</v>
      </c>
      <c r="D253" s="1219">
        <v>1</v>
      </c>
      <c r="E253" s="1219">
        <v>1</v>
      </c>
      <c r="F253" s="1219">
        <v>1</v>
      </c>
      <c r="G253" s="1219">
        <v>1</v>
      </c>
      <c r="H253" s="1219">
        <v>1</v>
      </c>
      <c r="I253" s="951">
        <v>1</v>
      </c>
      <c r="J253" s="951">
        <v>1</v>
      </c>
      <c r="K253" s="951">
        <v>1</v>
      </c>
      <c r="L253" s="949"/>
      <c r="M253" s="949"/>
      <c r="N253" s="949"/>
      <c r="O253" s="973">
        <f t="shared" si="496"/>
        <v>1</v>
      </c>
      <c r="P253" s="973">
        <f t="shared" si="496"/>
        <v>1</v>
      </c>
      <c r="Q253" s="973">
        <f t="shared" si="496"/>
        <v>1</v>
      </c>
      <c r="R253" s="951">
        <f t="shared" si="497"/>
        <v>1</v>
      </c>
      <c r="S253" s="1198" t="s">
        <v>2632</v>
      </c>
      <c r="T253" s="974">
        <v>45107</v>
      </c>
      <c r="U253" s="985"/>
      <c r="V253" s="985"/>
      <c r="W253" s="952"/>
      <c r="X253" s="975"/>
      <c r="Y253" s="1256">
        <f t="shared" si="498"/>
        <v>4</v>
      </c>
      <c r="Z253" s="977">
        <f t="shared" si="499"/>
        <v>4</v>
      </c>
      <c r="AA253" s="1026">
        <f t="shared" si="500"/>
        <v>1</v>
      </c>
      <c r="AB253" s="1234">
        <v>0.25</v>
      </c>
      <c r="AC253" s="1234">
        <v>0.5</v>
      </c>
      <c r="AD253" s="1234">
        <v>0.25</v>
      </c>
      <c r="AE253" s="951">
        <v>0.25</v>
      </c>
      <c r="AF253" s="951">
        <v>0.38</v>
      </c>
      <c r="AG253" s="1240">
        <v>90000000</v>
      </c>
      <c r="AH253" s="1245">
        <v>0</v>
      </c>
      <c r="AI253" s="1240">
        <v>32857008</v>
      </c>
      <c r="AJ253" s="1240">
        <v>99948316</v>
      </c>
      <c r="AK253" s="1240">
        <v>89138246</v>
      </c>
      <c r="AL253" s="1025">
        <f t="shared" si="401"/>
        <v>0.99042495555555554</v>
      </c>
      <c r="AM253" s="1245">
        <v>0</v>
      </c>
      <c r="AN253" s="1240">
        <v>11887325</v>
      </c>
      <c r="AO253" s="1240">
        <v>98457207</v>
      </c>
      <c r="AP253" s="1240">
        <v>45087394</v>
      </c>
      <c r="AQ253" s="1026">
        <f t="shared" si="402"/>
        <v>0.5009710444444444</v>
      </c>
      <c r="AR253" s="958">
        <f t="shared" si="501"/>
        <v>1491109</v>
      </c>
      <c r="AS253" s="1245">
        <v>0</v>
      </c>
      <c r="AT253" s="1245">
        <v>0</v>
      </c>
      <c r="AU253" s="1245">
        <v>20969683</v>
      </c>
      <c r="AV253" s="1245">
        <v>20006213</v>
      </c>
      <c r="AW253" s="1245">
        <v>1491109</v>
      </c>
      <c r="AX253" s="1245">
        <v>1491109</v>
      </c>
      <c r="AY253" s="1027">
        <f t="shared" si="389"/>
        <v>33.896938453191552</v>
      </c>
      <c r="AZ253" s="1071">
        <v>294000000</v>
      </c>
      <c r="BA253" s="1000">
        <f t="shared" si="404"/>
        <v>221943570</v>
      </c>
      <c r="BB253" s="973">
        <f t="shared" si="405"/>
        <v>0.75491010204081632</v>
      </c>
      <c r="BC253" s="1029">
        <f t="shared" si="406"/>
        <v>176929248</v>
      </c>
      <c r="BD253" s="973">
        <f t="shared" si="407"/>
        <v>0.60180016326530616</v>
      </c>
      <c r="BE253" s="969"/>
      <c r="BF253" s="969"/>
      <c r="BG253" s="953" t="s">
        <v>1703</v>
      </c>
      <c r="BH253" s="1236" t="s">
        <v>2150</v>
      </c>
      <c r="BI253" s="908" t="s">
        <v>2103</v>
      </c>
    </row>
    <row r="254" spans="1:61" s="908" customFormat="1" ht="56.25" hidden="1" customHeight="1">
      <c r="A254" s="1231" t="s">
        <v>2633</v>
      </c>
      <c r="B254" s="1232" t="s">
        <v>2634</v>
      </c>
      <c r="C254" s="980" t="s">
        <v>2108</v>
      </c>
      <c r="D254" s="1247">
        <v>0</v>
      </c>
      <c r="E254" s="1233">
        <v>0.1</v>
      </c>
      <c r="F254" s="1233">
        <v>1</v>
      </c>
      <c r="G254" s="1233">
        <v>0</v>
      </c>
      <c r="H254" s="950">
        <v>0</v>
      </c>
      <c r="I254" s="1233">
        <v>0.1</v>
      </c>
      <c r="J254" s="949">
        <v>1</v>
      </c>
      <c r="K254" s="949"/>
      <c r="L254" s="950"/>
      <c r="M254" s="950">
        <v>0.1</v>
      </c>
      <c r="N254" s="950"/>
      <c r="O254" s="973">
        <f t="shared" si="496"/>
        <v>0</v>
      </c>
      <c r="P254" s="973">
        <f t="shared" si="496"/>
        <v>1</v>
      </c>
      <c r="Q254" s="973">
        <f t="shared" si="496"/>
        <v>1</v>
      </c>
      <c r="R254" s="951">
        <f t="shared" si="497"/>
        <v>0</v>
      </c>
      <c r="S254" s="1198"/>
      <c r="T254" s="1198"/>
      <c r="U254" s="985"/>
      <c r="V254" s="985"/>
      <c r="W254" s="952"/>
      <c r="X254" s="975"/>
      <c r="Y254" s="1239">
        <f t="shared" si="498"/>
        <v>1.1000000000000001</v>
      </c>
      <c r="Z254" s="956">
        <f t="shared" si="499"/>
        <v>1.2000000000000002</v>
      </c>
      <c r="AA254" s="1026">
        <f t="shared" si="500"/>
        <v>1</v>
      </c>
      <c r="AB254" s="1234">
        <v>0.2</v>
      </c>
      <c r="AC254" s="1234">
        <v>0</v>
      </c>
      <c r="AD254" s="1234">
        <v>0.2</v>
      </c>
      <c r="AE254" s="951">
        <v>0.2</v>
      </c>
      <c r="AF254" s="951">
        <v>0</v>
      </c>
      <c r="AG254" s="1263">
        <v>0</v>
      </c>
      <c r="AH254" s="1245">
        <v>0</v>
      </c>
      <c r="AI254" s="1240">
        <v>98116308</v>
      </c>
      <c r="AJ254" s="1240">
        <v>99897816</v>
      </c>
      <c r="AK254" s="1240">
        <v>0</v>
      </c>
      <c r="AL254" s="1025" t="e">
        <f t="shared" si="401"/>
        <v>#DIV/0!</v>
      </c>
      <c r="AM254" s="1245">
        <v>0</v>
      </c>
      <c r="AN254" s="1240">
        <v>91887325</v>
      </c>
      <c r="AO254" s="1240">
        <v>98024897</v>
      </c>
      <c r="AP254" s="1240"/>
      <c r="AQ254" s="1026" t="e">
        <f t="shared" si="402"/>
        <v>#DIV/0!</v>
      </c>
      <c r="AR254" s="958">
        <f t="shared" si="501"/>
        <v>1872919</v>
      </c>
      <c r="AS254" s="1245">
        <v>0</v>
      </c>
      <c r="AT254" s="1245">
        <v>0</v>
      </c>
      <c r="AU254" s="1245">
        <v>6228983</v>
      </c>
      <c r="AV254" s="1245">
        <v>5265507</v>
      </c>
      <c r="AW254" s="1245">
        <v>1872919</v>
      </c>
      <c r="AX254" s="1245">
        <v>1769912</v>
      </c>
      <c r="AY254" s="1027">
        <f t="shared" si="389"/>
        <v>22.125217908516063</v>
      </c>
      <c r="AZ254" s="1071">
        <v>250000000</v>
      </c>
      <c r="BA254" s="1000">
        <f t="shared" si="404"/>
        <v>198014124</v>
      </c>
      <c r="BB254" s="973">
        <f t="shared" si="405"/>
        <v>0.79205649600000005</v>
      </c>
      <c r="BC254" s="1029">
        <f t="shared" si="406"/>
        <v>196947641</v>
      </c>
      <c r="BD254" s="973">
        <f t="shared" si="407"/>
        <v>0.78779056400000003</v>
      </c>
      <c r="BE254" s="969"/>
      <c r="BF254" s="969"/>
      <c r="BG254" s="953" t="s">
        <v>1703</v>
      </c>
      <c r="BH254" s="1369" t="s">
        <v>2150</v>
      </c>
      <c r="BI254" s="908" t="s">
        <v>2103</v>
      </c>
    </row>
    <row r="255" spans="1:61" s="908" customFormat="1" ht="65.25" hidden="1" customHeight="1">
      <c r="A255" s="1231" t="s">
        <v>2635</v>
      </c>
      <c r="B255" s="1232" t="s">
        <v>2634</v>
      </c>
      <c r="C255" s="980" t="s">
        <v>2108</v>
      </c>
      <c r="D255" s="1247">
        <v>0</v>
      </c>
      <c r="E255" s="1233">
        <v>0.1</v>
      </c>
      <c r="F255" s="1233">
        <v>1</v>
      </c>
      <c r="G255" s="1233">
        <v>0</v>
      </c>
      <c r="H255" s="950">
        <v>0</v>
      </c>
      <c r="I255" s="1233">
        <v>0.1</v>
      </c>
      <c r="J255" s="981">
        <v>1</v>
      </c>
      <c r="K255" s="981"/>
      <c r="L255" s="950"/>
      <c r="M255" s="950">
        <v>0.1</v>
      </c>
      <c r="N255" s="950"/>
      <c r="O255" s="973">
        <f t="shared" si="496"/>
        <v>0</v>
      </c>
      <c r="P255" s="973">
        <f t="shared" si="496"/>
        <v>1</v>
      </c>
      <c r="Q255" s="973">
        <f t="shared" si="496"/>
        <v>1</v>
      </c>
      <c r="R255" s="951">
        <f t="shared" si="497"/>
        <v>0</v>
      </c>
      <c r="S255" s="1198"/>
      <c r="T255" s="1198"/>
      <c r="U255" s="985"/>
      <c r="V255" s="985"/>
      <c r="W255" s="952"/>
      <c r="X255" s="975"/>
      <c r="Y255" s="1239">
        <f t="shared" si="498"/>
        <v>1.1000000000000001</v>
      </c>
      <c r="Z255" s="956">
        <f t="shared" si="499"/>
        <v>1.2000000000000002</v>
      </c>
      <c r="AA255" s="1026">
        <f t="shared" si="500"/>
        <v>1</v>
      </c>
      <c r="AB255" s="1234">
        <v>0.2</v>
      </c>
      <c r="AC255" s="1234">
        <v>0</v>
      </c>
      <c r="AD255" s="1234">
        <v>0.2</v>
      </c>
      <c r="AE255" s="951">
        <v>0.2</v>
      </c>
      <c r="AF255" s="951">
        <v>0</v>
      </c>
      <c r="AG255" s="1263">
        <v>0</v>
      </c>
      <c r="AH255" s="1245">
        <v>0</v>
      </c>
      <c r="AI255" s="1240">
        <v>98116308</v>
      </c>
      <c r="AJ255" s="1240">
        <v>99897816</v>
      </c>
      <c r="AK255" s="1240">
        <v>0</v>
      </c>
      <c r="AL255" s="1025" t="e">
        <f t="shared" si="401"/>
        <v>#DIV/0!</v>
      </c>
      <c r="AM255" s="1245">
        <v>0</v>
      </c>
      <c r="AN255" s="1240">
        <v>91887325</v>
      </c>
      <c r="AO255" s="1240">
        <v>95887886</v>
      </c>
      <c r="AP255" s="1240"/>
      <c r="AQ255" s="1026" t="e">
        <f t="shared" si="402"/>
        <v>#DIV/0!</v>
      </c>
      <c r="AR255" s="958">
        <f t="shared" si="501"/>
        <v>4009930</v>
      </c>
      <c r="AS255" s="1245">
        <v>0</v>
      </c>
      <c r="AT255" s="1245">
        <v>0</v>
      </c>
      <c r="AU255" s="1245">
        <v>6228983</v>
      </c>
      <c r="AV255" s="1245">
        <v>5265513</v>
      </c>
      <c r="AW255" s="1245">
        <v>4009930</v>
      </c>
      <c r="AX255" s="1245">
        <v>3855779</v>
      </c>
      <c r="AY255" s="1027">
        <f t="shared" si="389"/>
        <v>0.37185412214178304</v>
      </c>
      <c r="AZ255" s="1071">
        <v>250000000</v>
      </c>
      <c r="BA255" s="1000">
        <f t="shared" si="404"/>
        <v>198014124</v>
      </c>
      <c r="BB255" s="973">
        <f t="shared" si="405"/>
        <v>0.79205649600000005</v>
      </c>
      <c r="BC255" s="1029">
        <f t="shared" si="406"/>
        <v>196896503</v>
      </c>
      <c r="BD255" s="973">
        <f t="shared" si="407"/>
        <v>0.787586012</v>
      </c>
      <c r="BE255" s="969"/>
      <c r="BF255" s="969"/>
      <c r="BG255" s="953" t="s">
        <v>1703</v>
      </c>
      <c r="BH255" s="1370"/>
      <c r="BI255" s="908" t="s">
        <v>2103</v>
      </c>
    </row>
    <row r="256" spans="1:61" s="908" customFormat="1" ht="47.4" customHeight="1">
      <c r="A256" s="1231" t="s">
        <v>2636</v>
      </c>
      <c r="B256" s="1232" t="s">
        <v>2637</v>
      </c>
      <c r="C256" s="1232" t="s">
        <v>2108</v>
      </c>
      <c r="D256" s="1033">
        <v>0</v>
      </c>
      <c r="E256" s="1033">
        <v>1</v>
      </c>
      <c r="F256" s="1033">
        <v>1</v>
      </c>
      <c r="G256" s="1033">
        <v>1</v>
      </c>
      <c r="H256" s="949">
        <v>0</v>
      </c>
      <c r="I256" s="949">
        <v>0</v>
      </c>
      <c r="J256" s="981">
        <v>1</v>
      </c>
      <c r="K256" s="981">
        <v>1</v>
      </c>
      <c r="L256" s="949"/>
      <c r="M256" s="949">
        <v>1</v>
      </c>
      <c r="N256" s="949"/>
      <c r="O256" s="973">
        <f t="shared" si="496"/>
        <v>0</v>
      </c>
      <c r="P256" s="973">
        <f t="shared" si="496"/>
        <v>1</v>
      </c>
      <c r="Q256" s="973">
        <f t="shared" si="496"/>
        <v>1</v>
      </c>
      <c r="R256" s="951">
        <f t="shared" si="497"/>
        <v>1</v>
      </c>
      <c r="S256" s="1198" t="s">
        <v>2638</v>
      </c>
      <c r="T256" s="974">
        <v>45107</v>
      </c>
      <c r="U256" s="985"/>
      <c r="V256" s="985"/>
      <c r="W256" s="952"/>
      <c r="X256" s="976"/>
      <c r="Y256" s="1233">
        <f t="shared" si="498"/>
        <v>3</v>
      </c>
      <c r="Z256" s="956">
        <f t="shared" si="499"/>
        <v>3</v>
      </c>
      <c r="AA256" s="1026">
        <f t="shared" si="500"/>
        <v>1</v>
      </c>
      <c r="AB256" s="1234">
        <v>0.1</v>
      </c>
      <c r="AC256" s="1234">
        <v>0</v>
      </c>
      <c r="AD256" s="973">
        <v>0.1</v>
      </c>
      <c r="AE256" s="951">
        <v>0.1</v>
      </c>
      <c r="AF256" s="951">
        <v>0.23</v>
      </c>
      <c r="AG256" s="1264">
        <v>50000000</v>
      </c>
      <c r="AH256" s="1245">
        <v>0</v>
      </c>
      <c r="AI256" s="1240">
        <v>87537426</v>
      </c>
      <c r="AJ256" s="1240">
        <v>49974158</v>
      </c>
      <c r="AK256" s="1240">
        <v>50000000</v>
      </c>
      <c r="AL256" s="1025">
        <f t="shared" si="401"/>
        <v>1</v>
      </c>
      <c r="AM256" s="1245">
        <v>0</v>
      </c>
      <c r="AN256" s="1240">
        <v>82040996</v>
      </c>
      <c r="AO256" s="1240">
        <v>47921302</v>
      </c>
      <c r="AP256" s="1240">
        <v>45590337</v>
      </c>
      <c r="AQ256" s="1026">
        <f t="shared" si="402"/>
        <v>0.91180673999999995</v>
      </c>
      <c r="AR256" s="958">
        <f t="shared" si="501"/>
        <v>2052856</v>
      </c>
      <c r="AS256" s="1245">
        <v>0</v>
      </c>
      <c r="AT256" s="1245">
        <v>0</v>
      </c>
      <c r="AU256" s="1245">
        <v>5496430</v>
      </c>
      <c r="AV256" s="1245">
        <v>4646065</v>
      </c>
      <c r="AW256" s="1245">
        <v>2052856</v>
      </c>
      <c r="AX256" s="1245">
        <v>1988489</v>
      </c>
      <c r="AY256" s="1027">
        <f t="shared" si="389"/>
        <v>0.86217055653197305</v>
      </c>
      <c r="AZ256" s="1071">
        <v>190000000</v>
      </c>
      <c r="BA256" s="1000">
        <f t="shared" si="404"/>
        <v>187511584</v>
      </c>
      <c r="BB256" s="973">
        <f t="shared" si="405"/>
        <v>0.98690307368421049</v>
      </c>
      <c r="BC256" s="1029">
        <f t="shared" si="406"/>
        <v>182187189</v>
      </c>
      <c r="BD256" s="973">
        <f t="shared" si="407"/>
        <v>0.95887994210526317</v>
      </c>
      <c r="BE256" s="969"/>
      <c r="BF256" s="969"/>
      <c r="BG256" s="953" t="s">
        <v>1703</v>
      </c>
      <c r="BH256" s="1236" t="s">
        <v>2150</v>
      </c>
      <c r="BI256" s="908" t="s">
        <v>2103</v>
      </c>
    </row>
    <row r="257" spans="1:61" s="908" customFormat="1" ht="47.4" customHeight="1">
      <c r="A257" s="936" t="s">
        <v>2639</v>
      </c>
      <c r="B257" s="937"/>
      <c r="C257" s="937"/>
      <c r="D257" s="938"/>
      <c r="E257" s="938"/>
      <c r="F257" s="938"/>
      <c r="G257" s="938"/>
      <c r="H257" s="938"/>
      <c r="I257" s="938"/>
      <c r="J257" s="938"/>
      <c r="K257" s="938"/>
      <c r="L257" s="938"/>
      <c r="M257" s="938"/>
      <c r="N257" s="938"/>
      <c r="O257" s="939">
        <f>+SUMPRODUCT(O258:O259,AC258:AC259)</f>
        <v>1</v>
      </c>
      <c r="P257" s="939">
        <f t="shared" ref="P257:Q257" si="502">+SUMPRODUCT(P258:P259,AD258:AD259)</f>
        <v>1</v>
      </c>
      <c r="Q257" s="939">
        <f t="shared" si="502"/>
        <v>1</v>
      </c>
      <c r="R257" s="939">
        <f>+SUMPRODUCT(R258:R259,AF258:AF259)</f>
        <v>1</v>
      </c>
      <c r="S257" s="1178"/>
      <c r="T257" s="1178"/>
      <c r="U257" s="937"/>
      <c r="V257" s="937"/>
      <c r="W257" s="937"/>
      <c r="X257" s="1178"/>
      <c r="Y257" s="1102"/>
      <c r="Z257" s="940"/>
      <c r="AA257" s="939">
        <f>+SUMPRODUCT(AA258:AA259,AB258:AB259)</f>
        <v>1</v>
      </c>
      <c r="AB257" s="939">
        <v>0.4</v>
      </c>
      <c r="AC257" s="939">
        <v>0.4</v>
      </c>
      <c r="AD257" s="939">
        <v>0.4</v>
      </c>
      <c r="AE257" s="939">
        <v>0.4</v>
      </c>
      <c r="AF257" s="939">
        <v>0.4</v>
      </c>
      <c r="AG257" s="937">
        <f>SUM(AG258:AG259)</f>
        <v>322500000</v>
      </c>
      <c r="AH257" s="937">
        <f>SUM(AH258:AH259)</f>
        <v>58000000</v>
      </c>
      <c r="AI257" s="937">
        <f>SUM(AI258:AI259)</f>
        <v>221576882</v>
      </c>
      <c r="AJ257" s="937">
        <f>SUM(AJ258:AJ259)</f>
        <v>232379942</v>
      </c>
      <c r="AK257" s="937">
        <f>SUM(AK258:AK259)</f>
        <v>322495359</v>
      </c>
      <c r="AL257" s="943">
        <f t="shared" si="401"/>
        <v>0.99998560930232561</v>
      </c>
      <c r="AM257" s="937">
        <f>SUM(AM258:AM259)</f>
        <v>44000000</v>
      </c>
      <c r="AN257" s="937">
        <f>SUM(AN258:AN259)</f>
        <v>149150353</v>
      </c>
      <c r="AO257" s="937">
        <f>SUM(AO258:AO259)</f>
        <v>228122671</v>
      </c>
      <c r="AP257" s="937">
        <f>SUM(AP258:AP259)</f>
        <v>311765295</v>
      </c>
      <c r="AQ257" s="944">
        <f t="shared" si="402"/>
        <v>0.96671409302325584</v>
      </c>
      <c r="AR257" s="945">
        <f t="shared" ref="AR257:AX257" si="503">SUM(AR258:AR259)</f>
        <v>4257271</v>
      </c>
      <c r="AS257" s="937">
        <f t="shared" si="503"/>
        <v>14000000</v>
      </c>
      <c r="AT257" s="937">
        <f t="shared" si="503"/>
        <v>14000000</v>
      </c>
      <c r="AU257" s="937">
        <f t="shared" si="503"/>
        <v>72426529</v>
      </c>
      <c r="AV257" s="937">
        <f t="shared" si="503"/>
        <v>60729505</v>
      </c>
      <c r="AW257" s="937">
        <f t="shared" si="503"/>
        <v>4257271</v>
      </c>
      <c r="AX257" s="937">
        <f t="shared" si="503"/>
        <v>4064778</v>
      </c>
      <c r="AY257" s="946">
        <f t="shared" si="389"/>
        <v>0.90569263737262673</v>
      </c>
      <c r="AZ257" s="937">
        <f t="shared" ref="AZ257" si="504">SUM(AZ258:AZ259)</f>
        <v>972500000</v>
      </c>
      <c r="BA257" s="937">
        <f t="shared" si="404"/>
        <v>834452183</v>
      </c>
      <c r="BB257" s="939">
        <f t="shared" si="405"/>
        <v>0.85804851722365039</v>
      </c>
      <c r="BC257" s="1005">
        <f t="shared" si="406"/>
        <v>811832602</v>
      </c>
      <c r="BD257" s="939">
        <f t="shared" si="407"/>
        <v>0.83478930796915163</v>
      </c>
      <c r="BE257" s="945"/>
      <c r="BF257" s="945"/>
      <c r="BG257" s="945"/>
      <c r="BH257" s="945"/>
    </row>
    <row r="258" spans="1:61" s="908" customFormat="1" ht="47.4" customHeight="1">
      <c r="A258" s="1243" t="s">
        <v>2640</v>
      </c>
      <c r="B258" s="1265" t="s">
        <v>2641</v>
      </c>
      <c r="C258" s="948" t="s">
        <v>1056</v>
      </c>
      <c r="D258" s="1219">
        <v>0.2</v>
      </c>
      <c r="E258" s="1219">
        <v>0.5</v>
      </c>
      <c r="F258" s="1219">
        <v>0.7</v>
      </c>
      <c r="G258" s="1219">
        <v>1</v>
      </c>
      <c r="H258" s="1219">
        <v>0.2</v>
      </c>
      <c r="I258" s="951">
        <v>0.5</v>
      </c>
      <c r="J258" s="951">
        <v>0.5</v>
      </c>
      <c r="K258" s="951">
        <v>1</v>
      </c>
      <c r="L258" s="949"/>
      <c r="M258" s="949"/>
      <c r="N258" s="949">
        <v>20</v>
      </c>
      <c r="O258" s="973">
        <f t="shared" ref="O258:Q259" si="505">+IFERROR(IF((H258+L258)/D258&gt;=100%,100%,(H258+L258)/D258),0)</f>
        <v>1</v>
      </c>
      <c r="P258" s="973">
        <f t="shared" si="505"/>
        <v>1</v>
      </c>
      <c r="Q258" s="973">
        <f t="shared" si="505"/>
        <v>1</v>
      </c>
      <c r="R258" s="951">
        <f t="shared" ref="R258:R259" si="506">+IFERROR(IF(K258/G258&gt;=100%,100%,K258/G258),0)</f>
        <v>1</v>
      </c>
      <c r="S258" s="1198" t="s">
        <v>2642</v>
      </c>
      <c r="T258" s="974">
        <v>45107</v>
      </c>
      <c r="U258" s="984"/>
      <c r="V258" s="985"/>
      <c r="W258" s="952"/>
      <c r="X258" s="1198"/>
      <c r="Y258" s="1256">
        <f t="shared" ref="Y258:Y259" si="507">SUM(D258:G258)</f>
        <v>2.4</v>
      </c>
      <c r="Z258" s="977">
        <f t="shared" ref="Z258:Z259" si="508">SUM(H258:N258)</f>
        <v>22.2</v>
      </c>
      <c r="AA258" s="1026">
        <f t="shared" ref="AA258:AA259" si="509">IF(Z258/Y258&gt;=100%,100%,Z258/Y258)</f>
        <v>1</v>
      </c>
      <c r="AB258" s="1092">
        <v>0.6</v>
      </c>
      <c r="AC258" s="1092">
        <v>0.6</v>
      </c>
      <c r="AD258" s="1092">
        <v>0.6</v>
      </c>
      <c r="AE258" s="1099">
        <v>0.6</v>
      </c>
      <c r="AF258" s="1099">
        <v>0.6</v>
      </c>
      <c r="AG258" s="1263">
        <v>220000000</v>
      </c>
      <c r="AH258" s="1245">
        <v>12000000</v>
      </c>
      <c r="AI258" s="1263">
        <v>127819314</v>
      </c>
      <c r="AJ258" s="1263">
        <v>129932703</v>
      </c>
      <c r="AK258" s="1263">
        <v>219995359</v>
      </c>
      <c r="AL258" s="1025">
        <f t="shared" si="401"/>
        <v>0.99997890454545457</v>
      </c>
      <c r="AM258" s="1245">
        <v>12000000</v>
      </c>
      <c r="AN258" s="1263">
        <v>61201252</v>
      </c>
      <c r="AO258" s="1263">
        <v>127377913</v>
      </c>
      <c r="AP258" s="1263">
        <v>211552565</v>
      </c>
      <c r="AQ258" s="1026">
        <f t="shared" si="402"/>
        <v>0.96160256818181822</v>
      </c>
      <c r="AR258" s="958">
        <f t="shared" ref="AR258:AR259" si="510">+AJ258-AO258</f>
        <v>2554790</v>
      </c>
      <c r="AS258" s="1245">
        <v>0</v>
      </c>
      <c r="AT258" s="1245">
        <v>0</v>
      </c>
      <c r="AU258" s="1245">
        <v>66618062</v>
      </c>
      <c r="AV258" s="1245">
        <v>55504320</v>
      </c>
      <c r="AW258" s="1245">
        <v>2554790</v>
      </c>
      <c r="AX258" s="1245">
        <v>2441503</v>
      </c>
      <c r="AY258" s="1027">
        <f t="shared" si="389"/>
        <v>0.77833755416296446</v>
      </c>
      <c r="AZ258" s="1071">
        <v>560000000</v>
      </c>
      <c r="BA258" s="1000">
        <f t="shared" si="404"/>
        <v>489747376</v>
      </c>
      <c r="BB258" s="973">
        <f t="shared" si="405"/>
        <v>0.87454888571428568</v>
      </c>
      <c r="BC258" s="1029">
        <f t="shared" si="406"/>
        <v>470077553</v>
      </c>
      <c r="BD258" s="973">
        <f t="shared" si="407"/>
        <v>0.83942420178571431</v>
      </c>
      <c r="BE258" s="1030"/>
      <c r="BF258" s="1030"/>
      <c r="BG258" s="953" t="s">
        <v>1703</v>
      </c>
      <c r="BH258" s="1246" t="s">
        <v>2150</v>
      </c>
    </row>
    <row r="259" spans="1:61" s="908" customFormat="1" ht="47.4" customHeight="1">
      <c r="A259" s="1243" t="s">
        <v>2643</v>
      </c>
      <c r="B259" s="1265" t="s">
        <v>1062</v>
      </c>
      <c r="C259" s="948" t="s">
        <v>1056</v>
      </c>
      <c r="D259" s="1219">
        <v>1</v>
      </c>
      <c r="E259" s="1219">
        <v>1</v>
      </c>
      <c r="F259" s="1219">
        <v>1</v>
      </c>
      <c r="G259" s="1219">
        <v>1</v>
      </c>
      <c r="H259" s="1219">
        <v>0.8</v>
      </c>
      <c r="I259" s="951">
        <v>1</v>
      </c>
      <c r="J259" s="951">
        <v>1</v>
      </c>
      <c r="K259" s="951">
        <v>1</v>
      </c>
      <c r="L259" s="951">
        <v>0.2</v>
      </c>
      <c r="M259" s="951"/>
      <c r="N259" s="951"/>
      <c r="O259" s="973">
        <f t="shared" si="505"/>
        <v>1</v>
      </c>
      <c r="P259" s="973">
        <f t="shared" si="505"/>
        <v>1</v>
      </c>
      <c r="Q259" s="973">
        <f t="shared" si="505"/>
        <v>1</v>
      </c>
      <c r="R259" s="951">
        <f t="shared" si="506"/>
        <v>1</v>
      </c>
      <c r="S259" s="1198" t="s">
        <v>2644</v>
      </c>
      <c r="T259" s="974">
        <v>45107</v>
      </c>
      <c r="U259" s="985"/>
      <c r="V259" s="985"/>
      <c r="W259" s="952"/>
      <c r="X259" s="975"/>
      <c r="Y259" s="1256">
        <f t="shared" si="507"/>
        <v>4</v>
      </c>
      <c r="Z259" s="977">
        <f t="shared" si="508"/>
        <v>4</v>
      </c>
      <c r="AA259" s="1026">
        <f t="shared" si="509"/>
        <v>1</v>
      </c>
      <c r="AB259" s="1092">
        <v>0.4</v>
      </c>
      <c r="AC259" s="1092">
        <v>0.4</v>
      </c>
      <c r="AD259" s="1092">
        <v>0.4</v>
      </c>
      <c r="AE259" s="1099">
        <v>0.4</v>
      </c>
      <c r="AF259" s="1099">
        <v>0.4</v>
      </c>
      <c r="AG259" s="1263">
        <v>102500000</v>
      </c>
      <c r="AH259" s="1245">
        <v>46000000</v>
      </c>
      <c r="AI259" s="1263">
        <v>93757568</v>
      </c>
      <c r="AJ259" s="1263">
        <v>102447239</v>
      </c>
      <c r="AK259" s="1263">
        <v>102500000</v>
      </c>
      <c r="AL259" s="1025">
        <f t="shared" si="401"/>
        <v>1</v>
      </c>
      <c r="AM259" s="1245">
        <v>32000000</v>
      </c>
      <c r="AN259" s="1263">
        <v>87949101</v>
      </c>
      <c r="AO259" s="1263">
        <v>100744758</v>
      </c>
      <c r="AP259" s="1263">
        <v>100212730</v>
      </c>
      <c r="AQ259" s="1026">
        <f t="shared" si="402"/>
        <v>0.97768517073170735</v>
      </c>
      <c r="AR259" s="958">
        <f t="shared" si="510"/>
        <v>1702481</v>
      </c>
      <c r="AS259" s="1245">
        <v>14000000</v>
      </c>
      <c r="AT259" s="1245">
        <v>14000000</v>
      </c>
      <c r="AU259" s="1245">
        <v>5808467</v>
      </c>
      <c r="AV259" s="1245">
        <v>5225185</v>
      </c>
      <c r="AW259" s="1245">
        <v>1702481</v>
      </c>
      <c r="AX259" s="1245">
        <v>1623275</v>
      </c>
      <c r="AY259" s="1027">
        <f t="shared" si="389"/>
        <v>2.3875614470881028</v>
      </c>
      <c r="AZ259" s="1071">
        <v>412500000</v>
      </c>
      <c r="BA259" s="1000">
        <f t="shared" si="404"/>
        <v>344704807</v>
      </c>
      <c r="BB259" s="973">
        <f t="shared" si="405"/>
        <v>0.83564801696969693</v>
      </c>
      <c r="BC259" s="1029">
        <f t="shared" si="406"/>
        <v>341755049</v>
      </c>
      <c r="BD259" s="973">
        <f t="shared" si="407"/>
        <v>0.82849708848484849</v>
      </c>
      <c r="BE259" s="1030"/>
      <c r="BF259" s="1030"/>
      <c r="BG259" s="953" t="s">
        <v>1062</v>
      </c>
      <c r="BH259" s="1246" t="s">
        <v>2150</v>
      </c>
    </row>
    <row r="260" spans="1:61" s="935" customFormat="1" ht="47.4" customHeight="1">
      <c r="A260" s="925" t="s">
        <v>2645</v>
      </c>
      <c r="B260" s="926"/>
      <c r="C260" s="926"/>
      <c r="D260" s="927"/>
      <c r="E260" s="927"/>
      <c r="F260" s="1108"/>
      <c r="G260" s="1108"/>
      <c r="H260" s="927"/>
      <c r="I260" s="927"/>
      <c r="J260" s="1108"/>
      <c r="K260" s="1108"/>
      <c r="L260" s="928"/>
      <c r="M260" s="928"/>
      <c r="N260" s="928"/>
      <c r="O260" s="928">
        <f>+(O261*AC261)+(O266*AC266)+(O268*AC268)</f>
        <v>1</v>
      </c>
      <c r="P260" s="928">
        <f t="shared" ref="P260:R260" si="511">+(P261*AD261)+(P266*AD266)+(P268*AD268)</f>
        <v>0.8</v>
      </c>
      <c r="Q260" s="928">
        <f t="shared" si="511"/>
        <v>0.6</v>
      </c>
      <c r="R260" s="928">
        <f t="shared" si="511"/>
        <v>1</v>
      </c>
      <c r="S260" s="1176"/>
      <c r="T260" s="1176"/>
      <c r="U260" s="926"/>
      <c r="V260" s="926"/>
      <c r="W260" s="926"/>
      <c r="X260" s="1176"/>
      <c r="Y260" s="1177"/>
      <c r="Z260" s="929"/>
      <c r="AA260" s="928">
        <f>+(AA261*AB261)+(AA266*AB266)+(AA268*AB268)</f>
        <v>1</v>
      </c>
      <c r="AB260" s="928">
        <v>0.09</v>
      </c>
      <c r="AC260" s="928">
        <v>0.09</v>
      </c>
      <c r="AD260" s="928">
        <v>0.09</v>
      </c>
      <c r="AE260" s="928">
        <v>0.09</v>
      </c>
      <c r="AF260" s="928">
        <v>0.09</v>
      </c>
      <c r="AG260" s="926">
        <f>+AG261+AG266+AG268</f>
        <v>390000000</v>
      </c>
      <c r="AH260" s="926">
        <f>+AH261+AH266+AH268</f>
        <v>211626200</v>
      </c>
      <c r="AI260" s="926">
        <f>+AI261+AI266+AI268</f>
        <v>253384705</v>
      </c>
      <c r="AJ260" s="926">
        <f>+AJ261+AJ266+AJ268</f>
        <v>406467635</v>
      </c>
      <c r="AK260" s="926">
        <f>+AK261+AK266+AK268</f>
        <v>389944742</v>
      </c>
      <c r="AL260" s="931">
        <f t="shared" si="401"/>
        <v>0.99985831282051285</v>
      </c>
      <c r="AM260" s="926">
        <f>+AM261+AM266+AM268</f>
        <v>94226200</v>
      </c>
      <c r="AN260" s="926">
        <f>+AN261+AN266+AN268</f>
        <v>163299560</v>
      </c>
      <c r="AO260" s="926">
        <f>+AO261+AO266+AO268</f>
        <v>362624429.89999998</v>
      </c>
      <c r="AP260" s="926">
        <f>+AP261+AP266+AP268</f>
        <v>338207564.23000002</v>
      </c>
      <c r="AQ260" s="933">
        <f t="shared" si="402"/>
        <v>0.86719888264102574</v>
      </c>
      <c r="AR260" s="926">
        <f t="shared" ref="AR260:AX260" si="512">+AR261+AR266+AR268</f>
        <v>43843205.099999994</v>
      </c>
      <c r="AS260" s="926">
        <f t="shared" si="512"/>
        <v>117400000</v>
      </c>
      <c r="AT260" s="926">
        <f t="shared" si="512"/>
        <v>115536666</v>
      </c>
      <c r="AU260" s="926">
        <f t="shared" si="512"/>
        <v>90085145</v>
      </c>
      <c r="AV260" s="926">
        <f t="shared" si="512"/>
        <v>87045441</v>
      </c>
      <c r="AW260" s="926">
        <f t="shared" si="512"/>
        <v>43843205.100000001</v>
      </c>
      <c r="AX260" s="926">
        <f t="shared" si="512"/>
        <v>42105147.100000001</v>
      </c>
      <c r="AY260" s="934">
        <f t="shared" si="389"/>
        <v>5.5687146832246529E-2</v>
      </c>
      <c r="AZ260" s="926">
        <f t="shared" ref="AZ260" si="513">+AZ261+AZ266+AZ268</f>
        <v>1460000000</v>
      </c>
      <c r="BA260" s="926">
        <f t="shared" si="404"/>
        <v>1261423282</v>
      </c>
      <c r="BB260" s="928">
        <f t="shared" si="405"/>
        <v>0.86398854931506852</v>
      </c>
      <c r="BC260" s="1010">
        <f t="shared" si="406"/>
        <v>1203045008.23</v>
      </c>
      <c r="BD260" s="928">
        <f t="shared" si="407"/>
        <v>0.82400343029452061</v>
      </c>
      <c r="BE260" s="926"/>
      <c r="BF260" s="926" t="s">
        <v>1702</v>
      </c>
      <c r="BG260" s="926"/>
      <c r="BH260" s="926"/>
      <c r="BI260" s="935" t="s">
        <v>2103</v>
      </c>
    </row>
    <row r="261" spans="1:61" s="908" customFormat="1" ht="47.4" customHeight="1">
      <c r="A261" s="936" t="s">
        <v>2646</v>
      </c>
      <c r="B261" s="937"/>
      <c r="C261" s="937"/>
      <c r="D261" s="938"/>
      <c r="E261" s="938"/>
      <c r="F261" s="938"/>
      <c r="G261" s="938"/>
      <c r="H261" s="938"/>
      <c r="I261" s="938"/>
      <c r="J261" s="938"/>
      <c r="K261" s="938"/>
      <c r="L261" s="938"/>
      <c r="M261" s="938"/>
      <c r="N261" s="938"/>
      <c r="O261" s="939">
        <f>+SUMPRODUCT(O262:O265,AC262:AC265)</f>
        <v>1</v>
      </c>
      <c r="P261" s="939">
        <f t="shared" ref="P261:R261" si="514">+SUMPRODUCT(P262:P265,AD262:AD265)</f>
        <v>1</v>
      </c>
      <c r="Q261" s="939">
        <f t="shared" si="514"/>
        <v>1</v>
      </c>
      <c r="R261" s="939">
        <f t="shared" si="514"/>
        <v>1</v>
      </c>
      <c r="S261" s="1178"/>
      <c r="T261" s="1178"/>
      <c r="U261" s="937"/>
      <c r="V261" s="937"/>
      <c r="W261" s="937"/>
      <c r="X261" s="1178"/>
      <c r="Y261" s="1102"/>
      <c r="Z261" s="940"/>
      <c r="AA261" s="939">
        <f>+SUMPRODUCT(AA262:AA265,AB262:AB265)</f>
        <v>1</v>
      </c>
      <c r="AB261" s="939">
        <v>0.6</v>
      </c>
      <c r="AC261" s="939">
        <v>0.7</v>
      </c>
      <c r="AD261" s="939">
        <v>0.6</v>
      </c>
      <c r="AE261" s="939">
        <v>0.6</v>
      </c>
      <c r="AF261" s="939">
        <v>0.6</v>
      </c>
      <c r="AG261" s="937">
        <f>SUM(AG262:AG265)</f>
        <v>200000000</v>
      </c>
      <c r="AH261" s="937">
        <f>SUM(AH262:AH265)</f>
        <v>201626200</v>
      </c>
      <c r="AI261" s="937">
        <f>SUM(AI262:AI265)</f>
        <v>163189902</v>
      </c>
      <c r="AJ261" s="937">
        <f>SUM(AJ262:AJ265)</f>
        <v>197655050</v>
      </c>
      <c r="AK261" s="937">
        <f>SUM(AK262:AK265)</f>
        <v>199988098</v>
      </c>
      <c r="AL261" s="943">
        <f t="shared" si="401"/>
        <v>0.99994048999999996</v>
      </c>
      <c r="AM261" s="937">
        <f>SUM(AM262:AM265)</f>
        <v>84226200</v>
      </c>
      <c r="AN261" s="937">
        <f>SUM(AN262:AN265)</f>
        <v>133732128</v>
      </c>
      <c r="AO261" s="937">
        <f>SUM(AO262:AO265)</f>
        <v>176365430</v>
      </c>
      <c r="AP261" s="937">
        <f>SUM(AP262:AP265)</f>
        <v>160396609.22999999</v>
      </c>
      <c r="AQ261" s="944">
        <f t="shared" si="402"/>
        <v>0.80198304614999993</v>
      </c>
      <c r="AR261" s="945">
        <f t="shared" ref="AR261:AX261" si="515">SUM(AR262:AR265)</f>
        <v>21289620</v>
      </c>
      <c r="AS261" s="937">
        <f t="shared" si="515"/>
        <v>117400000</v>
      </c>
      <c r="AT261" s="937">
        <f t="shared" si="515"/>
        <v>115536666</v>
      </c>
      <c r="AU261" s="937">
        <f t="shared" si="515"/>
        <v>29457774</v>
      </c>
      <c r="AV261" s="937">
        <f t="shared" si="515"/>
        <v>28061863</v>
      </c>
      <c r="AW261" s="937">
        <f t="shared" si="515"/>
        <v>21289620</v>
      </c>
      <c r="AX261" s="937">
        <f t="shared" si="515"/>
        <v>19742164</v>
      </c>
      <c r="AY261" s="946">
        <f t="shared" si="389"/>
        <v>7.6247251007768108E-2</v>
      </c>
      <c r="AZ261" s="937">
        <f t="shared" ref="AZ261" si="516">SUM(AZ262:AZ265)</f>
        <v>830000000</v>
      </c>
      <c r="BA261" s="937">
        <f t="shared" si="404"/>
        <v>762459250</v>
      </c>
      <c r="BB261" s="939">
        <f t="shared" si="405"/>
        <v>0.91862560240963853</v>
      </c>
      <c r="BC261" s="1005">
        <f t="shared" si="406"/>
        <v>718061060.23000002</v>
      </c>
      <c r="BD261" s="939">
        <f t="shared" si="407"/>
        <v>0.86513380750602409</v>
      </c>
      <c r="BE261" s="945"/>
      <c r="BF261" s="945"/>
      <c r="BG261" s="945"/>
      <c r="BH261" s="945"/>
    </row>
    <row r="262" spans="1:61" s="908" customFormat="1" ht="47.4" customHeight="1">
      <c r="A262" s="1220" t="s">
        <v>2647</v>
      </c>
      <c r="B262" s="980" t="s">
        <v>2648</v>
      </c>
      <c r="C262" s="980" t="s">
        <v>2108</v>
      </c>
      <c r="D262" s="1033">
        <v>1</v>
      </c>
      <c r="E262" s="1033">
        <v>1</v>
      </c>
      <c r="F262" s="1033">
        <v>1</v>
      </c>
      <c r="G262" s="1033">
        <v>1</v>
      </c>
      <c r="H262" s="1033">
        <v>1</v>
      </c>
      <c r="I262" s="949">
        <v>1</v>
      </c>
      <c r="J262" s="981">
        <v>1</v>
      </c>
      <c r="K262" s="981">
        <v>1</v>
      </c>
      <c r="L262" s="949"/>
      <c r="M262" s="949"/>
      <c r="N262" s="949"/>
      <c r="O262" s="951">
        <f t="shared" ref="O262:Q265" si="517">+IFERROR(IF((H262+L262)/D262&gt;=100%,100%,(H262+L262)/D262),0)</f>
        <v>1</v>
      </c>
      <c r="P262" s="973">
        <f t="shared" si="517"/>
        <v>1</v>
      </c>
      <c r="Q262" s="973">
        <f t="shared" si="517"/>
        <v>1</v>
      </c>
      <c r="R262" s="951">
        <f t="shared" ref="R262:R265" si="518">+IFERROR(IF(K262/G262&gt;=100%,100%,K262/G262),0)</f>
        <v>1</v>
      </c>
      <c r="S262" s="908" t="s">
        <v>2649</v>
      </c>
      <c r="T262" s="974">
        <v>45107</v>
      </c>
      <c r="U262" s="985"/>
      <c r="V262" s="985"/>
      <c r="W262" s="952"/>
      <c r="X262" s="976"/>
      <c r="Y262" s="912">
        <f t="shared" ref="Y262:Y265" si="519">SUM(D262:G262)</f>
        <v>4</v>
      </c>
      <c r="Z262" s="956">
        <f t="shared" ref="Z262:Z265" si="520">SUM(H262:N262)</f>
        <v>4</v>
      </c>
      <c r="AA262" s="971">
        <f t="shared" ref="AA262:AA265" si="521">IF(Z262/Y262&gt;=100%,100%,Z262/Y262)</f>
        <v>1</v>
      </c>
      <c r="AB262" s="1099">
        <v>0.25</v>
      </c>
      <c r="AC262" s="1099">
        <v>0.5</v>
      </c>
      <c r="AD262" s="1099">
        <v>0.25</v>
      </c>
      <c r="AE262" s="1099">
        <v>0.25</v>
      </c>
      <c r="AF262" s="1099">
        <v>0.25</v>
      </c>
      <c r="AG262" s="1251">
        <v>50000000</v>
      </c>
      <c r="AH262" s="1245">
        <v>40800000</v>
      </c>
      <c r="AI262" s="1251">
        <v>36251938</v>
      </c>
      <c r="AJ262" s="1251">
        <v>49517290</v>
      </c>
      <c r="AK262" s="1251">
        <v>49999900</v>
      </c>
      <c r="AL262" s="959">
        <f t="shared" si="401"/>
        <v>0.99999800000000005</v>
      </c>
      <c r="AM262" s="1245">
        <v>35700000</v>
      </c>
      <c r="AN262" s="1251">
        <v>33612905</v>
      </c>
      <c r="AO262" s="1251">
        <v>42800491</v>
      </c>
      <c r="AP262" s="1251">
        <v>33424695</v>
      </c>
      <c r="AQ262" s="971">
        <f t="shared" si="402"/>
        <v>0.66849389999999997</v>
      </c>
      <c r="AR262" s="958">
        <f t="shared" ref="AR262:AR265" si="522">+AJ262-AO262</f>
        <v>6716799</v>
      </c>
      <c r="AS262" s="1245">
        <v>5100000</v>
      </c>
      <c r="AT262" s="1245">
        <v>5100000</v>
      </c>
      <c r="AU262" s="1245">
        <v>2639033</v>
      </c>
      <c r="AV262" s="1245">
        <v>2264369</v>
      </c>
      <c r="AW262" s="1245">
        <v>6716799</v>
      </c>
      <c r="AX262" s="1245">
        <v>6312491</v>
      </c>
      <c r="AY262" s="999">
        <f t="shared" si="389"/>
        <v>6.2686328859922709</v>
      </c>
      <c r="AZ262" s="1084">
        <v>195000000</v>
      </c>
      <c r="BA262" s="1000">
        <f t="shared" si="404"/>
        <v>176569128</v>
      </c>
      <c r="BB262" s="973">
        <f t="shared" si="405"/>
        <v>0.90548270769230765</v>
      </c>
      <c r="BC262" s="1029">
        <f t="shared" si="406"/>
        <v>159214951</v>
      </c>
      <c r="BD262" s="973">
        <f t="shared" si="407"/>
        <v>0.81648692820512825</v>
      </c>
      <c r="BE262" s="969"/>
      <c r="BF262" s="969"/>
      <c r="BG262" s="953" t="s">
        <v>1703</v>
      </c>
      <c r="BH262" s="1371" t="s">
        <v>2150</v>
      </c>
    </row>
    <row r="263" spans="1:61" s="908" customFormat="1" ht="47.4" customHeight="1">
      <c r="A263" s="1220" t="s">
        <v>2650</v>
      </c>
      <c r="B263" s="980" t="s">
        <v>2651</v>
      </c>
      <c r="C263" s="980" t="s">
        <v>2108</v>
      </c>
      <c r="D263" s="1033">
        <v>1</v>
      </c>
      <c r="E263" s="1033">
        <v>1</v>
      </c>
      <c r="F263" s="1033">
        <v>1</v>
      </c>
      <c r="G263" s="1033">
        <v>1</v>
      </c>
      <c r="H263" s="1033">
        <v>1</v>
      </c>
      <c r="I263" s="949">
        <v>1</v>
      </c>
      <c r="J263" s="949">
        <v>1</v>
      </c>
      <c r="K263" s="949">
        <v>1</v>
      </c>
      <c r="L263" s="949"/>
      <c r="M263" s="949"/>
      <c r="N263" s="949"/>
      <c r="O263" s="973">
        <f t="shared" si="517"/>
        <v>1</v>
      </c>
      <c r="P263" s="973">
        <f t="shared" si="517"/>
        <v>1</v>
      </c>
      <c r="Q263" s="973">
        <f t="shared" si="517"/>
        <v>1</v>
      </c>
      <c r="R263" s="951">
        <f t="shared" si="518"/>
        <v>1</v>
      </c>
      <c r="S263" s="1198" t="s">
        <v>2652</v>
      </c>
      <c r="T263" s="974">
        <v>45107</v>
      </c>
      <c r="U263" s="985" t="s">
        <v>2115</v>
      </c>
      <c r="V263" s="985"/>
      <c r="W263" s="952" t="s">
        <v>2116</v>
      </c>
      <c r="X263" s="976" t="s">
        <v>2653</v>
      </c>
      <c r="Y263" s="985">
        <f t="shared" si="519"/>
        <v>4</v>
      </c>
      <c r="Z263" s="956">
        <f t="shared" si="520"/>
        <v>4</v>
      </c>
      <c r="AA263" s="1026">
        <f t="shared" si="521"/>
        <v>1</v>
      </c>
      <c r="AB263" s="1092">
        <v>0.25</v>
      </c>
      <c r="AC263" s="1092">
        <v>0.5</v>
      </c>
      <c r="AD263" s="1092">
        <v>0.25</v>
      </c>
      <c r="AE263" s="1099">
        <v>0.25</v>
      </c>
      <c r="AF263" s="1099">
        <v>0.25</v>
      </c>
      <c r="AG263" s="1251">
        <v>50000000</v>
      </c>
      <c r="AH263" s="1245">
        <v>47326200</v>
      </c>
      <c r="AI263" s="1251">
        <v>44534088</v>
      </c>
      <c r="AJ263" s="1251">
        <v>49974158</v>
      </c>
      <c r="AK263" s="1251">
        <v>50000000</v>
      </c>
      <c r="AL263" s="1025">
        <f t="shared" si="401"/>
        <v>1</v>
      </c>
      <c r="AM263" s="1245">
        <v>39326200</v>
      </c>
      <c r="AN263" s="1251">
        <v>42993413</v>
      </c>
      <c r="AO263" s="1251">
        <v>48121302</v>
      </c>
      <c r="AP263" s="1251">
        <v>43719695</v>
      </c>
      <c r="AQ263" s="1026">
        <f t="shared" si="402"/>
        <v>0.87439389999999995</v>
      </c>
      <c r="AR263" s="958">
        <f t="shared" si="522"/>
        <v>1852856</v>
      </c>
      <c r="AS263" s="1245">
        <v>8000000</v>
      </c>
      <c r="AT263" s="1245">
        <v>8000000</v>
      </c>
      <c r="AU263" s="1245">
        <v>1540675</v>
      </c>
      <c r="AV263" s="1245">
        <v>1321944</v>
      </c>
      <c r="AW263" s="1245">
        <v>1852856</v>
      </c>
      <c r="AX263" s="1245">
        <v>1788489</v>
      </c>
      <c r="AY263" s="1027">
        <f t="shared" si="389"/>
        <v>10.654990997681418</v>
      </c>
      <c r="AZ263" s="1071">
        <v>195000000</v>
      </c>
      <c r="BA263" s="1000">
        <f t="shared" si="404"/>
        <v>191834446</v>
      </c>
      <c r="BB263" s="973">
        <f t="shared" si="405"/>
        <v>0.98376638974358976</v>
      </c>
      <c r="BC263" s="1029">
        <f t="shared" si="406"/>
        <v>185271043</v>
      </c>
      <c r="BD263" s="973">
        <f t="shared" si="407"/>
        <v>0.95010791282051277</v>
      </c>
      <c r="BE263" s="1030"/>
      <c r="BF263" s="1030"/>
      <c r="BG263" s="952" t="s">
        <v>1703</v>
      </c>
      <c r="BH263" s="1370"/>
    </row>
    <row r="264" spans="1:61" s="908" customFormat="1" ht="47.4" customHeight="1">
      <c r="A264" s="1220" t="s">
        <v>2654</v>
      </c>
      <c r="B264" s="980" t="s">
        <v>2655</v>
      </c>
      <c r="C264" s="1232" t="s">
        <v>2108</v>
      </c>
      <c r="D264" s="1033">
        <v>0.1</v>
      </c>
      <c r="E264" s="1033">
        <v>1</v>
      </c>
      <c r="F264" s="1033">
        <v>1</v>
      </c>
      <c r="G264" s="1033">
        <v>1</v>
      </c>
      <c r="H264" s="1033">
        <v>0.1</v>
      </c>
      <c r="I264" s="949">
        <v>0</v>
      </c>
      <c r="J264" s="949">
        <v>1</v>
      </c>
      <c r="K264" s="949">
        <v>1</v>
      </c>
      <c r="L264" s="949"/>
      <c r="M264" s="949">
        <v>1</v>
      </c>
      <c r="N264" s="949"/>
      <c r="O264" s="973">
        <f t="shared" si="517"/>
        <v>1</v>
      </c>
      <c r="P264" s="973">
        <f t="shared" si="517"/>
        <v>1</v>
      </c>
      <c r="Q264" s="973">
        <f t="shared" si="517"/>
        <v>1</v>
      </c>
      <c r="R264" s="951">
        <f t="shared" si="518"/>
        <v>1</v>
      </c>
      <c r="S264" s="1238" t="s">
        <v>2656</v>
      </c>
      <c r="T264" s="974">
        <v>45107</v>
      </c>
      <c r="U264" s="985"/>
      <c r="V264" s="985"/>
      <c r="W264" s="952"/>
      <c r="X264" s="976"/>
      <c r="Y264" s="985">
        <f t="shared" si="519"/>
        <v>3.1</v>
      </c>
      <c r="Z264" s="956">
        <f t="shared" si="520"/>
        <v>3.1</v>
      </c>
      <c r="AA264" s="1026">
        <f t="shared" si="521"/>
        <v>1</v>
      </c>
      <c r="AB264" s="1092">
        <v>0.25</v>
      </c>
      <c r="AC264" s="1092">
        <v>0</v>
      </c>
      <c r="AD264" s="1092">
        <v>0.25</v>
      </c>
      <c r="AE264" s="1099">
        <v>0.25</v>
      </c>
      <c r="AF264" s="1099">
        <v>0.25</v>
      </c>
      <c r="AG264" s="1251">
        <v>50000000</v>
      </c>
      <c r="AH264" s="1245">
        <v>56750000</v>
      </c>
      <c r="AI264" s="1251">
        <v>40701938</v>
      </c>
      <c r="AJ264" s="1251">
        <v>49974158</v>
      </c>
      <c r="AK264" s="1251">
        <v>49988198</v>
      </c>
      <c r="AL264" s="1025">
        <f t="shared" si="401"/>
        <v>0.99976396000000001</v>
      </c>
      <c r="AM264" s="1245">
        <v>4900000</v>
      </c>
      <c r="AN264" s="1251">
        <v>28062905</v>
      </c>
      <c r="AO264" s="1251">
        <v>45099695</v>
      </c>
      <c r="AP264" s="1251">
        <v>35496742</v>
      </c>
      <c r="AQ264" s="1026">
        <f t="shared" si="402"/>
        <v>0.70993483999999996</v>
      </c>
      <c r="AR264" s="958">
        <f t="shared" si="522"/>
        <v>4874463</v>
      </c>
      <c r="AS264" s="1245">
        <v>51850000</v>
      </c>
      <c r="AT264" s="1245">
        <v>50000000</v>
      </c>
      <c r="AU264" s="1245">
        <v>12639033</v>
      </c>
      <c r="AV264" s="1245">
        <v>12244710</v>
      </c>
      <c r="AW264" s="1245">
        <v>4874463</v>
      </c>
      <c r="AX264" s="1245">
        <v>4819152</v>
      </c>
      <c r="AY264" s="1027">
        <f t="shared" si="389"/>
        <v>1.2950125993365833</v>
      </c>
      <c r="AZ264" s="1071">
        <v>220000000</v>
      </c>
      <c r="BA264" s="1000">
        <f t="shared" si="404"/>
        <v>197414294</v>
      </c>
      <c r="BB264" s="973">
        <f t="shared" si="405"/>
        <v>0.89733770000000002</v>
      </c>
      <c r="BC264" s="1029">
        <f t="shared" si="406"/>
        <v>180623204</v>
      </c>
      <c r="BD264" s="973">
        <f t="shared" si="407"/>
        <v>0.8210145636363636</v>
      </c>
      <c r="BE264" s="1030"/>
      <c r="BF264" s="1030"/>
      <c r="BG264" s="952" t="s">
        <v>1703</v>
      </c>
      <c r="BH264" s="1370"/>
    </row>
    <row r="265" spans="1:61" s="908" customFormat="1" ht="47.4" customHeight="1">
      <c r="A265" s="1220" t="s">
        <v>2657</v>
      </c>
      <c r="B265" s="980" t="s">
        <v>2658</v>
      </c>
      <c r="C265" s="1232" t="s">
        <v>2108</v>
      </c>
      <c r="D265" s="1033">
        <v>0.1</v>
      </c>
      <c r="E265" s="1033">
        <v>1</v>
      </c>
      <c r="F265" s="1033">
        <v>1</v>
      </c>
      <c r="G265" s="1033">
        <v>1</v>
      </c>
      <c r="H265" s="1033">
        <v>0.1</v>
      </c>
      <c r="I265" s="949">
        <v>0</v>
      </c>
      <c r="J265" s="949">
        <v>1</v>
      </c>
      <c r="K265" s="949">
        <v>1</v>
      </c>
      <c r="L265" s="949"/>
      <c r="M265" s="949">
        <v>1</v>
      </c>
      <c r="N265" s="949"/>
      <c r="O265" s="973">
        <f t="shared" si="517"/>
        <v>1</v>
      </c>
      <c r="P265" s="973">
        <f t="shared" si="517"/>
        <v>1</v>
      </c>
      <c r="Q265" s="973">
        <f t="shared" si="517"/>
        <v>1</v>
      </c>
      <c r="R265" s="951">
        <f t="shared" si="518"/>
        <v>1</v>
      </c>
      <c r="S265" s="1238" t="s">
        <v>2659</v>
      </c>
      <c r="T265" s="974">
        <v>45107</v>
      </c>
      <c r="U265" s="985"/>
      <c r="V265" s="985"/>
      <c r="W265" s="952"/>
      <c r="X265" s="976"/>
      <c r="Y265" s="985">
        <f t="shared" si="519"/>
        <v>3.1</v>
      </c>
      <c r="Z265" s="956">
        <f t="shared" si="520"/>
        <v>3.1</v>
      </c>
      <c r="AA265" s="1026">
        <f t="shared" si="521"/>
        <v>1</v>
      </c>
      <c r="AB265" s="1092">
        <v>0.25</v>
      </c>
      <c r="AC265" s="1092">
        <v>0</v>
      </c>
      <c r="AD265" s="1092">
        <v>0.25</v>
      </c>
      <c r="AE265" s="1099">
        <v>0.25</v>
      </c>
      <c r="AF265" s="1099">
        <v>0.25</v>
      </c>
      <c r="AG265" s="1251">
        <v>50000000</v>
      </c>
      <c r="AH265" s="1245">
        <v>56750000</v>
      </c>
      <c r="AI265" s="1251">
        <v>41701938</v>
      </c>
      <c r="AJ265" s="1251">
        <v>48189444</v>
      </c>
      <c r="AK265" s="1251">
        <v>50000000</v>
      </c>
      <c r="AL265" s="1025">
        <f t="shared" si="401"/>
        <v>1</v>
      </c>
      <c r="AM265" s="1245">
        <v>4300000</v>
      </c>
      <c r="AN265" s="1251">
        <v>29062905</v>
      </c>
      <c r="AO265" s="1251">
        <v>40343942</v>
      </c>
      <c r="AP265" s="1251">
        <v>47755477.229999997</v>
      </c>
      <c r="AQ265" s="1026">
        <f t="shared" si="402"/>
        <v>0.95510954459999997</v>
      </c>
      <c r="AR265" s="958">
        <f t="shared" si="522"/>
        <v>7845502</v>
      </c>
      <c r="AS265" s="1245">
        <v>52450000</v>
      </c>
      <c r="AT265" s="1245">
        <v>52436666</v>
      </c>
      <c r="AU265" s="1245">
        <v>12639033</v>
      </c>
      <c r="AV265" s="1245">
        <v>12230840</v>
      </c>
      <c r="AW265" s="1245">
        <v>7845502</v>
      </c>
      <c r="AX265" s="1245">
        <v>6822032</v>
      </c>
      <c r="AY265" s="1027">
        <f t="shared" ref="AY265:AY296" si="523">+AX263/AW265</f>
        <v>0.22796361533015988</v>
      </c>
      <c r="AZ265" s="1071">
        <v>220000000</v>
      </c>
      <c r="BA265" s="1000">
        <f t="shared" si="404"/>
        <v>196641382</v>
      </c>
      <c r="BB265" s="973">
        <f t="shared" si="405"/>
        <v>0.89382446363636359</v>
      </c>
      <c r="BC265" s="1029">
        <f t="shared" si="406"/>
        <v>192951862.22999999</v>
      </c>
      <c r="BD265" s="973">
        <f t="shared" si="407"/>
        <v>0.87705391922727272</v>
      </c>
      <c r="BE265" s="1030"/>
      <c r="BF265" s="1030"/>
      <c r="BG265" s="952" t="s">
        <v>1703</v>
      </c>
      <c r="BH265" s="1370"/>
    </row>
    <row r="266" spans="1:61" s="908" customFormat="1" ht="47.4" customHeight="1">
      <c r="A266" s="936" t="s">
        <v>2660</v>
      </c>
      <c r="B266" s="937"/>
      <c r="C266" s="937"/>
      <c r="D266" s="938"/>
      <c r="E266" s="938"/>
      <c r="F266" s="938"/>
      <c r="G266" s="938"/>
      <c r="H266" s="938"/>
      <c r="I266" s="938"/>
      <c r="J266" s="938"/>
      <c r="K266" s="938"/>
      <c r="L266" s="938"/>
      <c r="M266" s="938"/>
      <c r="N266" s="938"/>
      <c r="O266" s="939">
        <f>+O267*AC267</f>
        <v>1</v>
      </c>
      <c r="P266" s="939">
        <f t="shared" ref="P266:R266" si="524">+P267*AD267</f>
        <v>0</v>
      </c>
      <c r="Q266" s="939">
        <f t="shared" si="524"/>
        <v>0</v>
      </c>
      <c r="R266" s="939">
        <f t="shared" si="524"/>
        <v>1</v>
      </c>
      <c r="S266" s="1178"/>
      <c r="T266" s="1178"/>
      <c r="U266" s="937"/>
      <c r="V266" s="937"/>
      <c r="W266" s="937"/>
      <c r="X266" s="1178"/>
      <c r="Y266" s="1102"/>
      <c r="Z266" s="940">
        <f>SUM(H266:M266)</f>
        <v>0</v>
      </c>
      <c r="AA266" s="939">
        <f>+(AA267*AB267)</f>
        <v>1</v>
      </c>
      <c r="AB266" s="939">
        <v>0.2</v>
      </c>
      <c r="AC266" s="939">
        <v>0.3</v>
      </c>
      <c r="AD266" s="939">
        <v>0.2</v>
      </c>
      <c r="AE266" s="939">
        <v>0.2</v>
      </c>
      <c r="AF266" s="939">
        <v>0.2</v>
      </c>
      <c r="AG266" s="937">
        <f>SUM(AG267)</f>
        <v>65000000</v>
      </c>
      <c r="AH266" s="937">
        <f>SUM(AH267)</f>
        <v>10000000</v>
      </c>
      <c r="AI266" s="937">
        <f>SUM(AI267)</f>
        <v>17337743</v>
      </c>
      <c r="AJ266" s="937">
        <f>SUM(AJ267)</f>
        <v>83877190</v>
      </c>
      <c r="AK266" s="937">
        <f>SUM(AK267)</f>
        <v>64992118</v>
      </c>
      <c r="AL266" s="943">
        <f t="shared" si="401"/>
        <v>0.99987873846153841</v>
      </c>
      <c r="AM266" s="937">
        <f>SUM(AM267)</f>
        <v>10000000</v>
      </c>
      <c r="AN266" s="937">
        <f>SUM(AN267)</f>
        <v>11840998</v>
      </c>
      <c r="AO266" s="937">
        <f>SUM(AO267)</f>
        <v>79597592</v>
      </c>
      <c r="AP266" s="937">
        <f>SUM(AP267)</f>
        <v>63156960</v>
      </c>
      <c r="AQ266" s="944">
        <f t="shared" si="402"/>
        <v>0.97164553846153845</v>
      </c>
      <c r="AR266" s="945">
        <f t="shared" ref="AR266:AX266" si="525">SUM(AR267)</f>
        <v>4279598</v>
      </c>
      <c r="AS266" s="937">
        <f t="shared" si="525"/>
        <v>0</v>
      </c>
      <c r="AT266" s="937">
        <f t="shared" si="525"/>
        <v>0</v>
      </c>
      <c r="AU266" s="937">
        <f t="shared" si="525"/>
        <v>5496745</v>
      </c>
      <c r="AV266" s="937">
        <f t="shared" si="525"/>
        <v>4646533</v>
      </c>
      <c r="AW266" s="937">
        <f t="shared" si="525"/>
        <v>4279598</v>
      </c>
      <c r="AX266" s="937">
        <f t="shared" si="525"/>
        <v>4152927</v>
      </c>
      <c r="AY266" s="946">
        <f t="shared" si="523"/>
        <v>1.1260758603962335</v>
      </c>
      <c r="AZ266" s="937">
        <f t="shared" ref="AZ266" si="526">SUM(AZ267)</f>
        <v>295000000</v>
      </c>
      <c r="BA266" s="937">
        <f t="shared" si="404"/>
        <v>176207051</v>
      </c>
      <c r="BB266" s="939">
        <f t="shared" si="405"/>
        <v>0.59731203728813564</v>
      </c>
      <c r="BC266" s="1005">
        <f t="shared" si="406"/>
        <v>173395010</v>
      </c>
      <c r="BD266" s="939">
        <f t="shared" si="407"/>
        <v>0.58777969491525428</v>
      </c>
      <c r="BE266" s="945"/>
      <c r="BF266" s="945"/>
      <c r="BG266" s="945"/>
      <c r="BH266" s="945"/>
      <c r="BI266" s="908" t="s">
        <v>2103</v>
      </c>
    </row>
    <row r="267" spans="1:61" s="908" customFormat="1" ht="47.4" customHeight="1">
      <c r="A267" s="1231" t="s">
        <v>2661</v>
      </c>
      <c r="B267" s="1232" t="s">
        <v>2662</v>
      </c>
      <c r="C267" s="1232" t="s">
        <v>2108</v>
      </c>
      <c r="D267" s="1327">
        <v>0.1</v>
      </c>
      <c r="E267" s="1046">
        <v>1</v>
      </c>
      <c r="F267" s="1046">
        <v>1</v>
      </c>
      <c r="G267" s="1046">
        <v>1</v>
      </c>
      <c r="H267" s="1046">
        <v>0.1</v>
      </c>
      <c r="I267" s="949">
        <v>0</v>
      </c>
      <c r="J267" s="949">
        <v>0</v>
      </c>
      <c r="K267" s="949">
        <v>1</v>
      </c>
      <c r="L267" s="949"/>
      <c r="M267" s="949"/>
      <c r="N267" s="949"/>
      <c r="O267" s="973">
        <f>+IFERROR(IF((H267+L267)/D267&gt;=100%,100%,(H267+L267)/D267),0)</f>
        <v>1</v>
      </c>
      <c r="P267" s="973">
        <f>+IFERROR(IF((I267+M267)/E267&gt;=100%,100%,(I267+M267)/E267),0)</f>
        <v>0</v>
      </c>
      <c r="Q267" s="973">
        <f>+IFERROR(IF((J267+N267)/F267&gt;=100%,100%,(J267+N267)/F267),0)</f>
        <v>0</v>
      </c>
      <c r="R267" s="951">
        <f>+IFERROR(IF(K267/G267&gt;=100%,100%,K267/G267),0)</f>
        <v>1</v>
      </c>
      <c r="S267" s="1267" t="s">
        <v>2663</v>
      </c>
      <c r="T267" s="974">
        <v>45107</v>
      </c>
      <c r="U267" s="954"/>
      <c r="V267" s="912"/>
      <c r="W267" s="953"/>
      <c r="Y267" s="1268">
        <v>1</v>
      </c>
      <c r="Z267" s="956">
        <f t="shared" ref="Z267" si="527">SUM(H267:N267)</f>
        <v>1.1000000000000001</v>
      </c>
      <c r="AA267" s="971">
        <f t="shared" ref="AA267" si="528">IF(Z267/Y267&gt;=100%,100%,Z267/Y267)</f>
        <v>1</v>
      </c>
      <c r="AB267" s="1099">
        <v>1</v>
      </c>
      <c r="AC267" s="951">
        <v>1</v>
      </c>
      <c r="AD267" s="951">
        <v>1</v>
      </c>
      <c r="AE267" s="951">
        <v>1</v>
      </c>
      <c r="AF267" s="951">
        <v>1</v>
      </c>
      <c r="AG267" s="1269">
        <v>65000000</v>
      </c>
      <c r="AH267" s="1270">
        <v>10000000</v>
      </c>
      <c r="AI267" s="1269">
        <v>17337743</v>
      </c>
      <c r="AJ267" s="1269">
        <v>83877190</v>
      </c>
      <c r="AK267" s="1269">
        <v>64992118</v>
      </c>
      <c r="AL267" s="959">
        <f t="shared" si="401"/>
        <v>0.99987873846153841</v>
      </c>
      <c r="AM267" s="1270">
        <v>10000000</v>
      </c>
      <c r="AN267" s="1269">
        <v>11840998</v>
      </c>
      <c r="AO267" s="1269">
        <v>79597592</v>
      </c>
      <c r="AP267" s="1269">
        <v>63156960</v>
      </c>
      <c r="AQ267" s="1026">
        <f t="shared" si="402"/>
        <v>0.97164553846153845</v>
      </c>
      <c r="AR267" s="958">
        <f>+AJ267-AO267</f>
        <v>4279598</v>
      </c>
      <c r="AS267" s="1270">
        <v>0</v>
      </c>
      <c r="AT267" s="1270">
        <v>0</v>
      </c>
      <c r="AU267" s="1270">
        <v>5496745</v>
      </c>
      <c r="AV267" s="1270">
        <v>4646533</v>
      </c>
      <c r="AW267" s="1270">
        <v>4279598</v>
      </c>
      <c r="AX267" s="1270">
        <v>4152927</v>
      </c>
      <c r="AY267" s="1027">
        <f t="shared" si="523"/>
        <v>1.5940824348455158</v>
      </c>
      <c r="AZ267" s="1071">
        <v>295000000</v>
      </c>
      <c r="BA267" s="1000">
        <f t="shared" si="404"/>
        <v>176207051</v>
      </c>
      <c r="BB267" s="973">
        <f t="shared" si="405"/>
        <v>0.59731203728813564</v>
      </c>
      <c r="BC267" s="1029">
        <f t="shared" si="406"/>
        <v>173395010</v>
      </c>
      <c r="BD267" s="973">
        <f t="shared" si="407"/>
        <v>0.58777969491525428</v>
      </c>
      <c r="BE267" s="1030"/>
      <c r="BF267" s="969"/>
      <c r="BG267" s="953" t="s">
        <v>1703</v>
      </c>
      <c r="BH267" s="1236" t="s">
        <v>2150</v>
      </c>
      <c r="BI267" s="908" t="s">
        <v>2103</v>
      </c>
    </row>
    <row r="268" spans="1:61" s="908" customFormat="1" ht="51.75" hidden="1" customHeight="1">
      <c r="A268" s="936" t="s">
        <v>2664</v>
      </c>
      <c r="B268" s="937"/>
      <c r="C268" s="937"/>
      <c r="D268" s="938"/>
      <c r="E268" s="938"/>
      <c r="F268" s="938"/>
      <c r="G268" s="938"/>
      <c r="H268" s="938"/>
      <c r="I268" s="938"/>
      <c r="J268" s="938"/>
      <c r="K268" s="938"/>
      <c r="L268" s="938"/>
      <c r="M268" s="938"/>
      <c r="N268" s="938"/>
      <c r="O268" s="939">
        <f>+O269*AC269</f>
        <v>0</v>
      </c>
      <c r="P268" s="939">
        <f t="shared" ref="P268:R268" si="529">+P269*AD269</f>
        <v>1</v>
      </c>
      <c r="Q268" s="939">
        <f t="shared" si="529"/>
        <v>0</v>
      </c>
      <c r="R268" s="939">
        <f t="shared" si="529"/>
        <v>1</v>
      </c>
      <c r="S268" s="1178"/>
      <c r="T268" s="1178"/>
      <c r="U268" s="937"/>
      <c r="V268" s="937"/>
      <c r="W268" s="937"/>
      <c r="X268" s="1178"/>
      <c r="Y268" s="1102"/>
      <c r="Z268" s="940">
        <f>SUM(H268:M268)</f>
        <v>0</v>
      </c>
      <c r="AA268" s="939">
        <f>+(AA269*AB269)</f>
        <v>1</v>
      </c>
      <c r="AB268" s="939">
        <v>0.2</v>
      </c>
      <c r="AC268" s="939">
        <v>0</v>
      </c>
      <c r="AD268" s="939">
        <v>0.2</v>
      </c>
      <c r="AE268" s="939">
        <v>0.2</v>
      </c>
      <c r="AF268" s="939">
        <v>0.2</v>
      </c>
      <c r="AG268" s="937">
        <f>SUM(AG269)</f>
        <v>125000000</v>
      </c>
      <c r="AH268" s="937">
        <f>SUM(AH269)</f>
        <v>0</v>
      </c>
      <c r="AI268" s="937">
        <f>SUM(AI269)</f>
        <v>72857060</v>
      </c>
      <c r="AJ268" s="937">
        <f>SUM(AJ269)</f>
        <v>124935395</v>
      </c>
      <c r="AK268" s="937">
        <f>SUM(AK269)</f>
        <v>124964526</v>
      </c>
      <c r="AL268" s="943">
        <f t="shared" ref="AL268:AL295" si="530">+AK268/AG268</f>
        <v>0.99971620800000005</v>
      </c>
      <c r="AM268" s="937">
        <f>SUM(AM269)</f>
        <v>0</v>
      </c>
      <c r="AN268" s="937">
        <f>SUM(AN269)</f>
        <v>17726434</v>
      </c>
      <c r="AO268" s="937">
        <f>SUM(AO269)</f>
        <v>106661407.90000001</v>
      </c>
      <c r="AP268" s="937">
        <f>SUM(AP269)</f>
        <v>114653995</v>
      </c>
      <c r="AQ268" s="944">
        <f t="shared" ref="AQ268:AQ295" si="531">+AP268/AG268</f>
        <v>0.91723195999999996</v>
      </c>
      <c r="AR268" s="945">
        <f t="shared" ref="AR268:AX268" si="532">SUM(AR269)</f>
        <v>18273987.099999994</v>
      </c>
      <c r="AS268" s="937">
        <f t="shared" si="532"/>
        <v>0</v>
      </c>
      <c r="AT268" s="937">
        <f t="shared" si="532"/>
        <v>0</v>
      </c>
      <c r="AU268" s="937">
        <f t="shared" si="532"/>
        <v>55130626</v>
      </c>
      <c r="AV268" s="937">
        <f t="shared" si="532"/>
        <v>54337045</v>
      </c>
      <c r="AW268" s="937">
        <f t="shared" si="532"/>
        <v>18273987.100000001</v>
      </c>
      <c r="AX268" s="937">
        <f t="shared" si="532"/>
        <v>18210056.100000001</v>
      </c>
      <c r="AY268" s="946">
        <f t="shared" si="523"/>
        <v>0.22725894339719654</v>
      </c>
      <c r="AZ268" s="937">
        <f>SUM(AZ269)</f>
        <v>335000000</v>
      </c>
      <c r="BA268" s="937">
        <f t="shared" ref="BA268:BA295" si="533">SUM(AH268:AK268)</f>
        <v>322756981</v>
      </c>
      <c r="BB268" s="939">
        <f t="shared" ref="BB268:BB295" si="534">+BA268/AZ268</f>
        <v>0.96345367462686571</v>
      </c>
      <c r="BC268" s="1005">
        <f t="shared" ref="BC268:BC296" si="535">SUM(AM268:AP268)+AT268+AV268+AX268</f>
        <v>311588938</v>
      </c>
      <c r="BD268" s="939">
        <f t="shared" ref="BD268:BD295" si="536">+BC268/AZ268</f>
        <v>0.9301162328358209</v>
      </c>
      <c r="BE268" s="945"/>
      <c r="BF268" s="945"/>
      <c r="BG268" s="945"/>
      <c r="BH268" s="945"/>
      <c r="BI268" s="908" t="s">
        <v>2103</v>
      </c>
    </row>
    <row r="269" spans="1:61" s="908" customFormat="1" ht="47.4" customHeight="1">
      <c r="A269" s="1220" t="s">
        <v>2665</v>
      </c>
      <c r="B269" s="980" t="s">
        <v>2666</v>
      </c>
      <c r="C269" s="1232" t="s">
        <v>2108</v>
      </c>
      <c r="D269" s="1046">
        <v>0</v>
      </c>
      <c r="E269" s="1046">
        <v>0.1</v>
      </c>
      <c r="F269" s="1046">
        <v>1</v>
      </c>
      <c r="G269" s="1046">
        <v>1</v>
      </c>
      <c r="H269" s="949">
        <v>0</v>
      </c>
      <c r="I269" s="1046">
        <v>0.1</v>
      </c>
      <c r="J269" s="981">
        <v>0</v>
      </c>
      <c r="K269" s="981">
        <v>1</v>
      </c>
      <c r="L269" s="949"/>
      <c r="M269" s="981"/>
      <c r="N269" s="981"/>
      <c r="O269" s="973">
        <f>+IFERROR(IF((H269+L269)/D269&gt;=100%,100%,(H269+L269)/D269),0)</f>
        <v>0</v>
      </c>
      <c r="P269" s="973">
        <f>+IFERROR(IF((I269+M269)/E269&gt;=100%,100%,(I269+M269)/E269),0)</f>
        <v>1</v>
      </c>
      <c r="Q269" s="973">
        <f>+IFERROR(IF((J269+N269)/F269&gt;=100%,100%,(J269+N269)/F269),0)</f>
        <v>0</v>
      </c>
      <c r="R269" s="951">
        <f>+IFERROR(IF(K269/G269&gt;=100%,100%,K269/G269),0)</f>
        <v>1</v>
      </c>
      <c r="S269" s="1198" t="s">
        <v>2667</v>
      </c>
      <c r="T269" s="974">
        <v>45107</v>
      </c>
      <c r="U269" s="985"/>
      <c r="V269" s="985"/>
      <c r="W269" s="952"/>
      <c r="X269" s="975"/>
      <c r="Y269" s="1271">
        <v>1</v>
      </c>
      <c r="Z269" s="956">
        <f t="shared" ref="Z269" si="537">SUM(H269:N269)</f>
        <v>1.1000000000000001</v>
      </c>
      <c r="AA269" s="1026">
        <f t="shared" ref="AA269" si="538">IF(Z269/Y269&gt;=100%,100%,Z269/Y269)</f>
        <v>1</v>
      </c>
      <c r="AB269" s="1092">
        <v>1</v>
      </c>
      <c r="AC269" s="1092">
        <v>0</v>
      </c>
      <c r="AD269" s="973">
        <v>1</v>
      </c>
      <c r="AE269" s="951">
        <v>1</v>
      </c>
      <c r="AF269" s="951">
        <v>1</v>
      </c>
      <c r="AG269" s="1264">
        <v>125000000</v>
      </c>
      <c r="AH269" s="1270">
        <v>0</v>
      </c>
      <c r="AI269" s="1269">
        <v>72857060</v>
      </c>
      <c r="AJ269" s="1269">
        <v>124935395</v>
      </c>
      <c r="AK269" s="1269">
        <v>124964526</v>
      </c>
      <c r="AL269" s="1025">
        <f t="shared" si="530"/>
        <v>0.99971620800000005</v>
      </c>
      <c r="AM269" s="1270">
        <v>0</v>
      </c>
      <c r="AN269" s="1269">
        <v>17726434</v>
      </c>
      <c r="AO269" s="1269">
        <v>106661407.90000001</v>
      </c>
      <c r="AP269" s="1269">
        <v>114653995</v>
      </c>
      <c r="AQ269" s="1026">
        <f t="shared" si="531"/>
        <v>0.91723195999999996</v>
      </c>
      <c r="AR269" s="958">
        <f>+AJ269-AO269</f>
        <v>18273987.099999994</v>
      </c>
      <c r="AS269" s="1270">
        <v>0</v>
      </c>
      <c r="AT269" s="1270">
        <v>0</v>
      </c>
      <c r="AU269" s="1270">
        <v>55130626</v>
      </c>
      <c r="AV269" s="1270">
        <v>54337045</v>
      </c>
      <c r="AW269" s="1270">
        <v>18273987.100000001</v>
      </c>
      <c r="AX269" s="1270">
        <v>18210056.100000001</v>
      </c>
      <c r="AY269" s="1027">
        <f t="shared" si="523"/>
        <v>0.22725894339719654</v>
      </c>
      <c r="AZ269" s="1071">
        <v>335000000</v>
      </c>
      <c r="BA269" s="1000">
        <f t="shared" si="533"/>
        <v>322756981</v>
      </c>
      <c r="BB269" s="973">
        <f t="shared" si="534"/>
        <v>0.96345367462686571</v>
      </c>
      <c r="BC269" s="1029">
        <f t="shared" si="535"/>
        <v>311588938</v>
      </c>
      <c r="BD269" s="973">
        <f t="shared" si="536"/>
        <v>0.9301162328358209</v>
      </c>
      <c r="BE269" s="1030"/>
      <c r="BF269" s="969"/>
      <c r="BG269" s="953" t="s">
        <v>1703</v>
      </c>
      <c r="BH269" s="1224" t="s">
        <v>2150</v>
      </c>
      <c r="BI269" s="908" t="s">
        <v>2103</v>
      </c>
    </row>
    <row r="270" spans="1:61" s="935" customFormat="1" ht="47.4" customHeight="1">
      <c r="A270" s="925" t="s">
        <v>2668</v>
      </c>
      <c r="B270" s="926"/>
      <c r="C270" s="926"/>
      <c r="D270" s="927"/>
      <c r="E270" s="927"/>
      <c r="F270" s="1108"/>
      <c r="G270" s="1108"/>
      <c r="H270" s="927"/>
      <c r="I270" s="927"/>
      <c r="J270" s="1108"/>
      <c r="K270" s="1108"/>
      <c r="L270" s="927"/>
      <c r="M270" s="927"/>
      <c r="N270" s="927"/>
      <c r="O270" s="928">
        <f>+(O271*AC271)</f>
        <v>1</v>
      </c>
      <c r="P270" s="928">
        <f t="shared" ref="P270:R270" si="539">+(P271*AD271)</f>
        <v>0.98</v>
      </c>
      <c r="Q270" s="928">
        <f t="shared" si="539"/>
        <v>0.97799999999999998</v>
      </c>
      <c r="R270" s="928">
        <f t="shared" si="539"/>
        <v>0.99172800000000005</v>
      </c>
      <c r="S270" s="1176"/>
      <c r="T270" s="1176"/>
      <c r="U270" s="926"/>
      <c r="V270" s="926"/>
      <c r="W270" s="926"/>
      <c r="X270" s="1176"/>
      <c r="Y270" s="1177"/>
      <c r="Z270" s="929">
        <f>SUM(H270:M270)</f>
        <v>0</v>
      </c>
      <c r="AA270" s="928">
        <f>+(AA271*AB271)</f>
        <v>0.98812</v>
      </c>
      <c r="AB270" s="928">
        <v>0.1</v>
      </c>
      <c r="AC270" s="928">
        <v>0.1</v>
      </c>
      <c r="AD270" s="928">
        <v>0.1</v>
      </c>
      <c r="AE270" s="928">
        <v>0.1</v>
      </c>
      <c r="AF270" s="928">
        <v>0.1</v>
      </c>
      <c r="AG270" s="926">
        <f>+AG271</f>
        <v>710000000</v>
      </c>
      <c r="AH270" s="926">
        <f>+AH271</f>
        <v>205472200</v>
      </c>
      <c r="AI270" s="926">
        <f>+AI271</f>
        <v>539083009</v>
      </c>
      <c r="AJ270" s="926">
        <f>+AJ271</f>
        <v>714962042</v>
      </c>
      <c r="AK270" s="926">
        <f>+AK271</f>
        <v>709857202.33000004</v>
      </c>
      <c r="AL270" s="931">
        <f t="shared" si="530"/>
        <v>0.99979887652112687</v>
      </c>
      <c r="AM270" s="926">
        <f>+AM271</f>
        <v>107400000</v>
      </c>
      <c r="AN270" s="926">
        <f>+AN271</f>
        <v>323233127</v>
      </c>
      <c r="AO270" s="926">
        <f>+AO271</f>
        <v>684579237</v>
      </c>
      <c r="AP270" s="926">
        <f>+AP271</f>
        <v>673979863.56000006</v>
      </c>
      <c r="AQ270" s="933">
        <f t="shared" si="531"/>
        <v>0.94926741346478882</v>
      </c>
      <c r="AR270" s="926">
        <f t="shared" ref="AR270:AX270" si="540">+AR271</f>
        <v>30382805</v>
      </c>
      <c r="AS270" s="926">
        <f t="shared" si="540"/>
        <v>98072200</v>
      </c>
      <c r="AT270" s="926">
        <f t="shared" si="540"/>
        <v>83395870.770000011</v>
      </c>
      <c r="AU270" s="926">
        <f t="shared" si="540"/>
        <v>215849882</v>
      </c>
      <c r="AV270" s="926">
        <f t="shared" si="540"/>
        <v>211462179</v>
      </c>
      <c r="AW270" s="926">
        <f t="shared" si="540"/>
        <v>30382805</v>
      </c>
      <c r="AX270" s="926">
        <f t="shared" si="540"/>
        <v>29118024</v>
      </c>
      <c r="AY270" s="934">
        <f t="shared" si="523"/>
        <v>0.59935401290302204</v>
      </c>
      <c r="AZ270" s="926">
        <f t="shared" ref="AZ270" si="541">+AZ271</f>
        <v>2725000000</v>
      </c>
      <c r="BA270" s="926">
        <f t="shared" si="533"/>
        <v>2169374453.3299999</v>
      </c>
      <c r="BB270" s="928">
        <f t="shared" si="534"/>
        <v>0.7961007168183486</v>
      </c>
      <c r="BC270" s="1010">
        <f t="shared" si="535"/>
        <v>2113168301.3299999</v>
      </c>
      <c r="BD270" s="928">
        <f t="shared" si="536"/>
        <v>0.77547460599266049</v>
      </c>
      <c r="BE270" s="926"/>
      <c r="BF270" s="926" t="s">
        <v>1702</v>
      </c>
      <c r="BG270" s="926"/>
      <c r="BH270" s="926"/>
    </row>
    <row r="271" spans="1:61" s="908" customFormat="1" ht="47.4" customHeight="1">
      <c r="A271" s="936" t="s">
        <v>2669</v>
      </c>
      <c r="B271" s="937"/>
      <c r="C271" s="937"/>
      <c r="D271" s="938"/>
      <c r="E271" s="938"/>
      <c r="F271" s="938"/>
      <c r="G271" s="938"/>
      <c r="H271" s="938"/>
      <c r="I271" s="938"/>
      <c r="J271" s="938"/>
      <c r="K271" s="938"/>
      <c r="L271" s="938"/>
      <c r="M271" s="938"/>
      <c r="N271" s="938"/>
      <c r="O271" s="939">
        <f>+SUMPRODUCT(O272:O277,AC272:AC277)</f>
        <v>1</v>
      </c>
      <c r="P271" s="939">
        <f t="shared" ref="P271:R271" si="542">+SUMPRODUCT(P272:P277,AD272:AD277)</f>
        <v>0.98</v>
      </c>
      <c r="Q271" s="939">
        <f t="shared" si="542"/>
        <v>0.97799999999999998</v>
      </c>
      <c r="R271" s="939">
        <f t="shared" si="542"/>
        <v>0.99172800000000005</v>
      </c>
      <c r="S271" s="1178"/>
      <c r="T271" s="1178"/>
      <c r="U271" s="937"/>
      <c r="V271" s="937"/>
      <c r="W271" s="937"/>
      <c r="X271" s="1178"/>
      <c r="Y271" s="1102"/>
      <c r="Z271" s="940">
        <f>SUM(H271:M271)</f>
        <v>0</v>
      </c>
      <c r="AA271" s="939">
        <f>+SUMPRODUCT(AA272:AA277,AB272:AB277)</f>
        <v>0.98812</v>
      </c>
      <c r="AB271" s="939">
        <v>1</v>
      </c>
      <c r="AC271" s="939">
        <v>1</v>
      </c>
      <c r="AD271" s="939">
        <v>1</v>
      </c>
      <c r="AE271" s="939">
        <v>1</v>
      </c>
      <c r="AF271" s="939">
        <v>1</v>
      </c>
      <c r="AG271" s="937">
        <f>SUM(AG272:AG277)</f>
        <v>710000000</v>
      </c>
      <c r="AH271" s="937">
        <f>SUM(AH272:AH277)</f>
        <v>205472200</v>
      </c>
      <c r="AI271" s="937">
        <f>SUM(AI272:AI277)</f>
        <v>539083009</v>
      </c>
      <c r="AJ271" s="937">
        <f>SUM(AJ272:AJ277)</f>
        <v>714962042</v>
      </c>
      <c r="AK271" s="937">
        <f>SUM(AK272:AK277)</f>
        <v>709857202.33000004</v>
      </c>
      <c r="AL271" s="943">
        <f t="shared" si="530"/>
        <v>0.99979887652112687</v>
      </c>
      <c r="AM271" s="937">
        <f>SUM(AM272:AM277)</f>
        <v>107400000</v>
      </c>
      <c r="AN271" s="937">
        <f>SUM(AN272:AN277)</f>
        <v>323233127</v>
      </c>
      <c r="AO271" s="937">
        <f>SUM(AO272:AO277)</f>
        <v>684579237</v>
      </c>
      <c r="AP271" s="937">
        <f>SUM(AP272:AP277)</f>
        <v>673979863.56000006</v>
      </c>
      <c r="AQ271" s="944">
        <f t="shared" si="531"/>
        <v>0.94926741346478882</v>
      </c>
      <c r="AR271" s="945">
        <f t="shared" ref="AR271:AX271" si="543">SUM(AR272:AR277)</f>
        <v>30382805</v>
      </c>
      <c r="AS271" s="937">
        <f t="shared" si="543"/>
        <v>98072200</v>
      </c>
      <c r="AT271" s="937">
        <f t="shared" si="543"/>
        <v>83395870.770000011</v>
      </c>
      <c r="AU271" s="937">
        <f t="shared" si="543"/>
        <v>215849882</v>
      </c>
      <c r="AV271" s="937">
        <f t="shared" si="543"/>
        <v>211462179</v>
      </c>
      <c r="AW271" s="937">
        <f t="shared" si="543"/>
        <v>30382805</v>
      </c>
      <c r="AX271" s="937">
        <f t="shared" si="543"/>
        <v>29118024</v>
      </c>
      <c r="AY271" s="946">
        <f t="shared" si="523"/>
        <v>0.59935401290302204</v>
      </c>
      <c r="AZ271" s="937">
        <f t="shared" ref="AZ271" si="544">SUM(AZ272:AZ277)</f>
        <v>2725000000</v>
      </c>
      <c r="BA271" s="937">
        <f t="shared" si="533"/>
        <v>2169374453.3299999</v>
      </c>
      <c r="BB271" s="939">
        <f t="shared" si="534"/>
        <v>0.7961007168183486</v>
      </c>
      <c r="BC271" s="1005">
        <f t="shared" si="535"/>
        <v>2113168301.3299999</v>
      </c>
      <c r="BD271" s="939">
        <f t="shared" si="536"/>
        <v>0.77547460599266049</v>
      </c>
      <c r="BE271" s="945"/>
      <c r="BF271" s="945"/>
      <c r="BG271" s="945"/>
      <c r="BH271" s="945"/>
    </row>
    <row r="272" spans="1:61" s="908" customFormat="1" ht="47.4" customHeight="1">
      <c r="A272" s="1231" t="s">
        <v>2670</v>
      </c>
      <c r="B272" s="1232" t="s">
        <v>2671</v>
      </c>
      <c r="C272" s="948" t="s">
        <v>1056</v>
      </c>
      <c r="D272" s="1219">
        <v>0.5</v>
      </c>
      <c r="E272" s="1219">
        <v>0.7</v>
      </c>
      <c r="F272" s="1219">
        <v>0.7</v>
      </c>
      <c r="G272" s="1219">
        <v>0.7</v>
      </c>
      <c r="H272" s="1219">
        <v>0.2</v>
      </c>
      <c r="I272" s="951">
        <v>1</v>
      </c>
      <c r="J272" s="951">
        <v>0.9</v>
      </c>
      <c r="K272" s="951">
        <v>0.92500000000000004</v>
      </c>
      <c r="L272" s="951">
        <v>0.3</v>
      </c>
      <c r="M272" s="951"/>
      <c r="N272" s="951"/>
      <c r="O272" s="951">
        <f t="shared" ref="O272:Q277" si="545">+IFERROR(IF((H272+L272)/D272&gt;=100%,100%,(H272+L272)/D272),0)</f>
        <v>1</v>
      </c>
      <c r="P272" s="973">
        <f t="shared" si="545"/>
        <v>1</v>
      </c>
      <c r="Q272" s="973">
        <f t="shared" si="545"/>
        <v>1</v>
      </c>
      <c r="R272" s="951">
        <f t="shared" ref="R272:R277" si="546">+IFERROR(IF(K272/G272&gt;=100%,100%,K272/G272),0)</f>
        <v>1</v>
      </c>
      <c r="S272" s="1198" t="s">
        <v>2672</v>
      </c>
      <c r="T272" s="974">
        <v>45107</v>
      </c>
      <c r="U272" s="985" t="s">
        <v>2115</v>
      </c>
      <c r="V272" s="985"/>
      <c r="W272" s="952" t="s">
        <v>2116</v>
      </c>
      <c r="X272" s="976" t="s">
        <v>2673</v>
      </c>
      <c r="Y272" s="1256">
        <f t="shared" ref="Y272:Y277" si="547">SUM(D272:G272)</f>
        <v>2.5999999999999996</v>
      </c>
      <c r="Z272" s="977">
        <f t="shared" ref="Z272:Z277" si="548">SUM(H272:N272)</f>
        <v>3.3250000000000002</v>
      </c>
      <c r="AA272" s="1026">
        <f t="shared" ref="AA272:AA277" si="549">IF(Z272/Y272&gt;=100%,100%,Z272/Y272)</f>
        <v>1</v>
      </c>
      <c r="AB272" s="1234">
        <v>0.25</v>
      </c>
      <c r="AC272" s="1234">
        <v>0.28000000000000003</v>
      </c>
      <c r="AD272" s="1234">
        <v>0.25</v>
      </c>
      <c r="AE272" s="1272">
        <v>0.27</v>
      </c>
      <c r="AF272" s="1272">
        <v>0.27</v>
      </c>
      <c r="AG272" s="1269">
        <v>165000000</v>
      </c>
      <c r="AH272" s="1235">
        <v>69472200</v>
      </c>
      <c r="AI272" s="1269">
        <v>97783935</v>
      </c>
      <c r="AJ272" s="1269">
        <v>187984459</v>
      </c>
      <c r="AK272" s="1269">
        <v>164946839</v>
      </c>
      <c r="AL272" s="1025">
        <f t="shared" si="530"/>
        <v>0.99967781212121209</v>
      </c>
      <c r="AM272" s="1235">
        <v>0</v>
      </c>
      <c r="AN272" s="1269">
        <v>10517463</v>
      </c>
      <c r="AO272" s="1269">
        <v>165461038</v>
      </c>
      <c r="AP272" s="1269">
        <v>151137297.22999999</v>
      </c>
      <c r="AQ272" s="1026">
        <f t="shared" si="531"/>
        <v>0.91598361957575747</v>
      </c>
      <c r="AR272" s="958">
        <f t="shared" ref="AR272:AR277" si="550">+AJ272-AO272</f>
        <v>22523421</v>
      </c>
      <c r="AS272" s="1235">
        <v>69472200</v>
      </c>
      <c r="AT272" s="1235">
        <v>63195870.770000003</v>
      </c>
      <c r="AU272" s="1235">
        <v>87266472</v>
      </c>
      <c r="AV272" s="1235">
        <v>85708098</v>
      </c>
      <c r="AW272" s="1235">
        <v>22523421</v>
      </c>
      <c r="AX272" s="1235">
        <v>21258640</v>
      </c>
      <c r="AY272" s="1027">
        <f t="shared" si="523"/>
        <v>1.292788693156337</v>
      </c>
      <c r="AZ272" s="1071">
        <v>700000000</v>
      </c>
      <c r="BA272" s="1000">
        <f t="shared" si="533"/>
        <v>520187433</v>
      </c>
      <c r="BB272" s="973">
        <f t="shared" si="534"/>
        <v>0.74312490428571432</v>
      </c>
      <c r="BC272" s="1029">
        <f t="shared" si="535"/>
        <v>497278407</v>
      </c>
      <c r="BD272" s="973">
        <f t="shared" si="536"/>
        <v>0.71039772428571424</v>
      </c>
      <c r="BE272" s="1030"/>
      <c r="BF272" s="1030"/>
      <c r="BG272" s="953" t="s">
        <v>1703</v>
      </c>
      <c r="BH272" s="1236" t="s">
        <v>2674</v>
      </c>
    </row>
    <row r="273" spans="1:61" s="908" customFormat="1" ht="47.4" customHeight="1">
      <c r="A273" s="1231" t="s">
        <v>2675</v>
      </c>
      <c r="B273" s="1232" t="s">
        <v>2676</v>
      </c>
      <c r="C273" s="948" t="s">
        <v>1056</v>
      </c>
      <c r="D273" s="1219">
        <v>0.1</v>
      </c>
      <c r="E273" s="1219">
        <v>0.2</v>
      </c>
      <c r="F273" s="1219">
        <v>0.2</v>
      </c>
      <c r="G273" s="1219">
        <v>0.2</v>
      </c>
      <c r="H273" s="1219">
        <v>0</v>
      </c>
      <c r="I273" s="951">
        <v>0.34</v>
      </c>
      <c r="J273" s="951">
        <v>0.2</v>
      </c>
      <c r="K273" s="951">
        <v>0.2</v>
      </c>
      <c r="L273" s="951">
        <v>0.1</v>
      </c>
      <c r="M273" s="951"/>
      <c r="N273" s="951"/>
      <c r="O273" s="951">
        <f t="shared" si="545"/>
        <v>1</v>
      </c>
      <c r="P273" s="973">
        <f t="shared" si="545"/>
        <v>1</v>
      </c>
      <c r="Q273" s="973">
        <f t="shared" si="545"/>
        <v>1</v>
      </c>
      <c r="R273" s="951">
        <f t="shared" si="546"/>
        <v>1</v>
      </c>
      <c r="S273" s="908" t="s">
        <v>2677</v>
      </c>
      <c r="T273" s="974">
        <v>45107</v>
      </c>
      <c r="U273" s="985"/>
      <c r="V273" s="985"/>
      <c r="W273" s="952"/>
      <c r="X273" s="976"/>
      <c r="Y273" s="1256">
        <f t="shared" si="547"/>
        <v>0.7</v>
      </c>
      <c r="Z273" s="977">
        <f t="shared" si="548"/>
        <v>0.84</v>
      </c>
      <c r="AA273" s="1026">
        <f t="shared" si="549"/>
        <v>1</v>
      </c>
      <c r="AB273" s="1234">
        <v>0.25</v>
      </c>
      <c r="AC273" s="1234">
        <v>0.28000000000000003</v>
      </c>
      <c r="AD273" s="1234">
        <v>0.25</v>
      </c>
      <c r="AE273" s="1272">
        <v>0.27</v>
      </c>
      <c r="AF273" s="1272">
        <v>0.27</v>
      </c>
      <c r="AG273" s="1269">
        <v>175000000</v>
      </c>
      <c r="AH273" s="1235">
        <v>24000000</v>
      </c>
      <c r="AI273" s="1269">
        <v>186183935</v>
      </c>
      <c r="AJ273" s="1269">
        <v>179908477</v>
      </c>
      <c r="AK273" s="1269">
        <v>174964418</v>
      </c>
      <c r="AL273" s="1025">
        <f t="shared" si="530"/>
        <v>0.99979667428571428</v>
      </c>
      <c r="AM273" s="1235">
        <v>18000000</v>
      </c>
      <c r="AN273" s="1269">
        <v>74917463</v>
      </c>
      <c r="AO273" s="1269">
        <v>177267972</v>
      </c>
      <c r="AP273" s="1269">
        <v>164923522</v>
      </c>
      <c r="AQ273" s="1026">
        <f t="shared" si="531"/>
        <v>0.94242012571428568</v>
      </c>
      <c r="AR273" s="958">
        <f t="shared" si="550"/>
        <v>2640505</v>
      </c>
      <c r="AS273" s="1235">
        <v>6000000</v>
      </c>
      <c r="AT273" s="1235">
        <v>0</v>
      </c>
      <c r="AU273" s="1235">
        <v>111266472</v>
      </c>
      <c r="AV273" s="1235">
        <v>109708098</v>
      </c>
      <c r="AW273" s="1235">
        <v>2640505</v>
      </c>
      <c r="AX273" s="1235">
        <v>2640505</v>
      </c>
      <c r="AY273" s="1027">
        <f t="shared" si="523"/>
        <v>11.027445128867395</v>
      </c>
      <c r="AZ273" s="1071">
        <v>695000000</v>
      </c>
      <c r="BA273" s="1000">
        <f t="shared" si="533"/>
        <v>565056830</v>
      </c>
      <c r="BB273" s="973">
        <f t="shared" si="534"/>
        <v>0.81303141007194246</v>
      </c>
      <c r="BC273" s="1029">
        <f t="shared" si="535"/>
        <v>547457560</v>
      </c>
      <c r="BD273" s="973">
        <f t="shared" si="536"/>
        <v>0.78770871942446041</v>
      </c>
      <c r="BE273" s="1030"/>
      <c r="BF273" s="1030"/>
      <c r="BG273" s="953" t="s">
        <v>1703</v>
      </c>
      <c r="BH273" s="1236" t="s">
        <v>2674</v>
      </c>
    </row>
    <row r="274" spans="1:61" s="908" customFormat="1" ht="52.5" hidden="1" customHeight="1">
      <c r="A274" s="1231" t="s">
        <v>2678</v>
      </c>
      <c r="B274" s="1232" t="s">
        <v>2679</v>
      </c>
      <c r="C274" s="980" t="s">
        <v>2108</v>
      </c>
      <c r="D274" s="1046">
        <v>0</v>
      </c>
      <c r="E274" s="1233">
        <v>1</v>
      </c>
      <c r="F274" s="1233">
        <v>0</v>
      </c>
      <c r="G274" s="1233">
        <v>0</v>
      </c>
      <c r="H274" s="1233">
        <v>0</v>
      </c>
      <c r="I274" s="949">
        <v>1</v>
      </c>
      <c r="J274" s="949">
        <v>0</v>
      </c>
      <c r="K274" s="949"/>
      <c r="L274" s="949"/>
      <c r="M274" s="949"/>
      <c r="N274" s="949"/>
      <c r="O274" s="951">
        <f t="shared" si="545"/>
        <v>0</v>
      </c>
      <c r="P274" s="973">
        <f t="shared" si="545"/>
        <v>1</v>
      </c>
      <c r="Q274" s="951">
        <f t="shared" si="545"/>
        <v>0</v>
      </c>
      <c r="R274" s="951">
        <f t="shared" si="546"/>
        <v>0</v>
      </c>
      <c r="S274" s="1198"/>
      <c r="T274" s="1198"/>
      <c r="U274" s="984"/>
      <c r="V274" s="985"/>
      <c r="W274" s="952"/>
      <c r="X274" s="952"/>
      <c r="Y274" s="1239">
        <f t="shared" si="547"/>
        <v>1</v>
      </c>
      <c r="Z274" s="956">
        <f t="shared" si="548"/>
        <v>1</v>
      </c>
      <c r="AA274" s="1026">
        <f t="shared" si="549"/>
        <v>1</v>
      </c>
      <c r="AB274" s="1234">
        <v>0.1</v>
      </c>
      <c r="AC274" s="1234">
        <v>0</v>
      </c>
      <c r="AD274" s="1234">
        <v>0.1</v>
      </c>
      <c r="AE274" s="1234">
        <v>0</v>
      </c>
      <c r="AF274" s="1234">
        <v>0</v>
      </c>
      <c r="AG274" s="1269">
        <v>0</v>
      </c>
      <c r="AH274" s="1235">
        <v>0</v>
      </c>
      <c r="AI274" s="1269">
        <v>17289393</v>
      </c>
      <c r="AJ274" s="1269">
        <v>0</v>
      </c>
      <c r="AK274" s="1269">
        <v>0</v>
      </c>
      <c r="AL274" s="1025" t="e">
        <f t="shared" si="530"/>
        <v>#DIV/0!</v>
      </c>
      <c r="AM274" s="1235">
        <v>0</v>
      </c>
      <c r="AN274" s="1269">
        <v>13862275</v>
      </c>
      <c r="AO274" s="1269">
        <v>0</v>
      </c>
      <c r="AP274" s="1269"/>
      <c r="AQ274" s="1026" t="e">
        <f t="shared" si="531"/>
        <v>#DIV/0!</v>
      </c>
      <c r="AR274" s="958">
        <f t="shared" si="550"/>
        <v>0</v>
      </c>
      <c r="AS274" s="1235">
        <v>0</v>
      </c>
      <c r="AT274" s="1235">
        <v>0</v>
      </c>
      <c r="AU274" s="1235">
        <v>3427118</v>
      </c>
      <c r="AV274" s="1235">
        <v>3268249</v>
      </c>
      <c r="AW274" s="1235"/>
      <c r="AX274" s="1235"/>
      <c r="AY274" s="1027" t="e">
        <f t="shared" si="523"/>
        <v>#DIV/0!</v>
      </c>
      <c r="AZ274" s="1071">
        <v>60000000</v>
      </c>
      <c r="BA274" s="1000">
        <f t="shared" si="533"/>
        <v>17289393</v>
      </c>
      <c r="BB274" s="973">
        <f t="shared" si="534"/>
        <v>0.28815655000000001</v>
      </c>
      <c r="BC274" s="1029">
        <f t="shared" si="535"/>
        <v>17130524</v>
      </c>
      <c r="BD274" s="973">
        <f t="shared" si="536"/>
        <v>0.28550873333333332</v>
      </c>
      <c r="BE274" s="1030"/>
      <c r="BF274" s="1030"/>
      <c r="BG274" s="953" t="s">
        <v>1703</v>
      </c>
      <c r="BH274" s="1369" t="s">
        <v>2674</v>
      </c>
    </row>
    <row r="275" spans="1:61" s="908" customFormat="1" ht="47.4" customHeight="1">
      <c r="A275" s="1231" t="s">
        <v>2680</v>
      </c>
      <c r="B275" s="1232" t="s">
        <v>2681</v>
      </c>
      <c r="C275" s="980" t="s">
        <v>2108</v>
      </c>
      <c r="D275" s="1033">
        <v>3</v>
      </c>
      <c r="E275" s="1033">
        <v>2</v>
      </c>
      <c r="F275" s="1033">
        <v>2</v>
      </c>
      <c r="G275" s="1033">
        <v>1</v>
      </c>
      <c r="H275" s="1033">
        <v>3</v>
      </c>
      <c r="I275" s="949">
        <v>2</v>
      </c>
      <c r="J275" s="949">
        <v>2</v>
      </c>
      <c r="K275" s="949">
        <v>1</v>
      </c>
      <c r="L275" s="949"/>
      <c r="M275" s="949"/>
      <c r="N275" s="949"/>
      <c r="O275" s="951">
        <f t="shared" si="545"/>
        <v>1</v>
      </c>
      <c r="P275" s="973">
        <f t="shared" si="545"/>
        <v>1</v>
      </c>
      <c r="Q275" s="973">
        <f t="shared" si="545"/>
        <v>1</v>
      </c>
      <c r="R275" s="951">
        <f t="shared" si="546"/>
        <v>1</v>
      </c>
      <c r="S275" s="1198" t="s">
        <v>2682</v>
      </c>
      <c r="T275" s="974">
        <v>45107</v>
      </c>
      <c r="U275" s="985"/>
      <c r="V275" s="985"/>
      <c r="W275" s="952"/>
      <c r="X275" s="975"/>
      <c r="Y275" s="1233">
        <f t="shared" si="547"/>
        <v>8</v>
      </c>
      <c r="Z275" s="956">
        <f t="shared" si="548"/>
        <v>8</v>
      </c>
      <c r="AA275" s="1026">
        <f t="shared" si="549"/>
        <v>1</v>
      </c>
      <c r="AB275" s="1234">
        <v>0.1</v>
      </c>
      <c r="AC275" s="1234">
        <v>0.11</v>
      </c>
      <c r="AD275" s="1234">
        <v>0.1</v>
      </c>
      <c r="AE275" s="1272">
        <v>0.12</v>
      </c>
      <c r="AF275" s="1272">
        <v>0.12</v>
      </c>
      <c r="AG275" s="1269">
        <v>75000000</v>
      </c>
      <c r="AH275" s="1235">
        <v>10800000</v>
      </c>
      <c r="AI275" s="1269">
        <v>19689393</v>
      </c>
      <c r="AJ275" s="1269">
        <v>49150353</v>
      </c>
      <c r="AK275" s="1269">
        <v>74965071</v>
      </c>
      <c r="AL275" s="1025">
        <f t="shared" si="530"/>
        <v>0.99953428</v>
      </c>
      <c r="AM275" s="1235">
        <v>10800000</v>
      </c>
      <c r="AN275" s="1269">
        <v>18662275</v>
      </c>
      <c r="AO275" s="1269">
        <v>48404799</v>
      </c>
      <c r="AP275" s="1269">
        <v>68276307</v>
      </c>
      <c r="AQ275" s="1026">
        <f t="shared" si="531"/>
        <v>0.91035076000000004</v>
      </c>
      <c r="AR275" s="958">
        <f t="shared" si="550"/>
        <v>745554</v>
      </c>
      <c r="AS275" s="1235">
        <v>0</v>
      </c>
      <c r="AT275" s="1235">
        <v>0</v>
      </c>
      <c r="AU275" s="1235">
        <v>1027118</v>
      </c>
      <c r="AV275" s="1235">
        <v>868249</v>
      </c>
      <c r="AW275" s="1235">
        <v>745554</v>
      </c>
      <c r="AX275" s="1235">
        <v>745554</v>
      </c>
      <c r="AY275" s="1027">
        <f t="shared" si="523"/>
        <v>3.5416683432722511</v>
      </c>
      <c r="AZ275" s="1071">
        <v>175000000</v>
      </c>
      <c r="BA275" s="1000">
        <f t="shared" si="533"/>
        <v>154604817</v>
      </c>
      <c r="BB275" s="973">
        <f t="shared" si="534"/>
        <v>0.88345609714285711</v>
      </c>
      <c r="BC275" s="1029">
        <f t="shared" si="535"/>
        <v>147757184</v>
      </c>
      <c r="BD275" s="973">
        <f t="shared" si="536"/>
        <v>0.84432676571428567</v>
      </c>
      <c r="BE275" s="1030"/>
      <c r="BF275" s="1030"/>
      <c r="BG275" s="953" t="s">
        <v>1703</v>
      </c>
      <c r="BH275" s="1370"/>
    </row>
    <row r="276" spans="1:61" s="908" customFormat="1" ht="47.4" customHeight="1">
      <c r="A276" s="1231" t="s">
        <v>2683</v>
      </c>
      <c r="B276" s="1232" t="s">
        <v>2684</v>
      </c>
      <c r="C276" s="980" t="s">
        <v>2108</v>
      </c>
      <c r="D276" s="1033">
        <v>3</v>
      </c>
      <c r="E276" s="1033">
        <v>4</v>
      </c>
      <c r="F276" s="1033">
        <v>7</v>
      </c>
      <c r="G276" s="1033">
        <v>7</v>
      </c>
      <c r="H276" s="1033">
        <v>2</v>
      </c>
      <c r="I276" s="949">
        <v>4</v>
      </c>
      <c r="J276" s="949">
        <v>7</v>
      </c>
      <c r="K276" s="949">
        <v>7</v>
      </c>
      <c r="L276" s="949">
        <v>1</v>
      </c>
      <c r="M276" s="949"/>
      <c r="N276" s="949"/>
      <c r="O276" s="951">
        <f t="shared" si="545"/>
        <v>1</v>
      </c>
      <c r="P276" s="973">
        <f t="shared" si="545"/>
        <v>1</v>
      </c>
      <c r="Q276" s="973">
        <f t="shared" si="545"/>
        <v>1</v>
      </c>
      <c r="R276" s="951">
        <f t="shared" si="546"/>
        <v>1</v>
      </c>
      <c r="S276" s="1198" t="s">
        <v>2685</v>
      </c>
      <c r="T276" s="974">
        <v>45107</v>
      </c>
      <c r="U276" s="985" t="s">
        <v>2115</v>
      </c>
      <c r="V276" s="985"/>
      <c r="W276" s="952" t="s">
        <v>2116</v>
      </c>
      <c r="X276" s="976" t="s">
        <v>2686</v>
      </c>
      <c r="Y276" s="1233">
        <f t="shared" si="547"/>
        <v>21</v>
      </c>
      <c r="Z276" s="956">
        <f t="shared" si="548"/>
        <v>21</v>
      </c>
      <c r="AA276" s="1026">
        <f t="shared" si="549"/>
        <v>1</v>
      </c>
      <c r="AB276" s="1234">
        <v>0.1</v>
      </c>
      <c r="AC276" s="1234">
        <v>0.11</v>
      </c>
      <c r="AD276" s="1234">
        <v>0.1</v>
      </c>
      <c r="AE276" s="1272">
        <v>0.12</v>
      </c>
      <c r="AF276" s="1272">
        <v>0.12</v>
      </c>
      <c r="AG276" s="1269">
        <v>75000000</v>
      </c>
      <c r="AH276" s="1235">
        <v>22800000</v>
      </c>
      <c r="AI276" s="1269">
        <v>19689393</v>
      </c>
      <c r="AJ276" s="1269">
        <v>79282350</v>
      </c>
      <c r="AK276" s="1269">
        <v>74981541</v>
      </c>
      <c r="AL276" s="1025">
        <f t="shared" si="530"/>
        <v>0.99975387999999998</v>
      </c>
      <c r="AM276" s="1235">
        <v>18000000</v>
      </c>
      <c r="AN276" s="1269">
        <v>18662275</v>
      </c>
      <c r="AO276" s="1269">
        <v>78086357</v>
      </c>
      <c r="AP276" s="1269">
        <v>70854666</v>
      </c>
      <c r="AQ276" s="1026">
        <f t="shared" si="531"/>
        <v>0.94472887999999999</v>
      </c>
      <c r="AR276" s="958">
        <f t="shared" si="550"/>
        <v>1195993</v>
      </c>
      <c r="AS276" s="1235">
        <v>4800000</v>
      </c>
      <c r="AT276" s="1235">
        <v>2400000</v>
      </c>
      <c r="AU276" s="1235">
        <v>1027118</v>
      </c>
      <c r="AV276" s="1235">
        <v>868249</v>
      </c>
      <c r="AW276" s="1235">
        <v>1195993</v>
      </c>
      <c r="AX276" s="1235">
        <v>1195993</v>
      </c>
      <c r="AY276" s="1027">
        <f t="shared" si="523"/>
        <v>0</v>
      </c>
      <c r="AZ276" s="1071">
        <v>205000000</v>
      </c>
      <c r="BA276" s="1000">
        <f t="shared" si="533"/>
        <v>196753284</v>
      </c>
      <c r="BB276" s="973">
        <f t="shared" si="534"/>
        <v>0.95977211707317078</v>
      </c>
      <c r="BC276" s="1029">
        <f t="shared" si="535"/>
        <v>190067540</v>
      </c>
      <c r="BD276" s="973">
        <f t="shared" si="536"/>
        <v>0.92715873170731711</v>
      </c>
      <c r="BE276" s="1030"/>
      <c r="BF276" s="1030"/>
      <c r="BG276" s="953" t="s">
        <v>1703</v>
      </c>
      <c r="BH276" s="1370"/>
    </row>
    <row r="277" spans="1:61" s="908" customFormat="1" ht="47.4" customHeight="1">
      <c r="A277" s="1231" t="s">
        <v>2687</v>
      </c>
      <c r="B277" s="1232" t="s">
        <v>2688</v>
      </c>
      <c r="C277" s="948" t="s">
        <v>1056</v>
      </c>
      <c r="D277" s="1219">
        <v>1</v>
      </c>
      <c r="E277" s="1219">
        <v>1</v>
      </c>
      <c r="F277" s="1219">
        <v>1</v>
      </c>
      <c r="G277" s="1219">
        <v>1</v>
      </c>
      <c r="H277" s="1219">
        <v>0.59</v>
      </c>
      <c r="I277" s="951">
        <v>0.9</v>
      </c>
      <c r="J277" s="951">
        <v>0.9</v>
      </c>
      <c r="K277" s="951">
        <v>0.96240000000000003</v>
      </c>
      <c r="L277" s="951">
        <v>0.41</v>
      </c>
      <c r="M277" s="951"/>
      <c r="N277" s="951"/>
      <c r="O277" s="951">
        <f t="shared" si="545"/>
        <v>1</v>
      </c>
      <c r="P277" s="973">
        <f t="shared" si="545"/>
        <v>0.9</v>
      </c>
      <c r="Q277" s="973">
        <f t="shared" si="545"/>
        <v>0.9</v>
      </c>
      <c r="R277" s="951">
        <f t="shared" si="546"/>
        <v>0.96240000000000003</v>
      </c>
      <c r="S277" s="1198" t="s">
        <v>2689</v>
      </c>
      <c r="T277" s="974">
        <v>45107</v>
      </c>
      <c r="U277" s="985" t="s">
        <v>2115</v>
      </c>
      <c r="V277" s="985"/>
      <c r="W277" s="952" t="s">
        <v>2116</v>
      </c>
      <c r="X277" s="976" t="s">
        <v>2690</v>
      </c>
      <c r="Y277" s="1256">
        <f t="shared" si="547"/>
        <v>4</v>
      </c>
      <c r="Z277" s="977">
        <f t="shared" si="548"/>
        <v>3.7624000000000004</v>
      </c>
      <c r="AA277" s="1026">
        <f t="shared" si="549"/>
        <v>0.9406000000000001</v>
      </c>
      <c r="AB277" s="1234">
        <v>0.2</v>
      </c>
      <c r="AC277" s="1234">
        <v>0.22</v>
      </c>
      <c r="AD277" s="1234">
        <v>0.2</v>
      </c>
      <c r="AE277" s="1272">
        <v>0.22</v>
      </c>
      <c r="AF277" s="1272">
        <v>0.22</v>
      </c>
      <c r="AG277" s="1269">
        <v>220000000</v>
      </c>
      <c r="AH277" s="1235">
        <v>78400000</v>
      </c>
      <c r="AI277" s="1269">
        <v>198446960</v>
      </c>
      <c r="AJ277" s="1269">
        <v>218636403</v>
      </c>
      <c r="AK277" s="1269">
        <v>219999333.33000001</v>
      </c>
      <c r="AL277" s="1025">
        <f t="shared" si="530"/>
        <v>0.99999696968181828</v>
      </c>
      <c r="AM277" s="1235">
        <v>60600000</v>
      </c>
      <c r="AN277" s="1269">
        <v>186611376</v>
      </c>
      <c r="AO277" s="1269">
        <v>215359071</v>
      </c>
      <c r="AP277" s="1269">
        <v>218788071.33000001</v>
      </c>
      <c r="AQ277" s="1026">
        <f t="shared" si="531"/>
        <v>0.9944912333181819</v>
      </c>
      <c r="AR277" s="958">
        <f t="shared" si="550"/>
        <v>3277332</v>
      </c>
      <c r="AS277" s="1235">
        <v>17800000</v>
      </c>
      <c r="AT277" s="1235">
        <v>17800000</v>
      </c>
      <c r="AU277" s="1235">
        <v>11835584</v>
      </c>
      <c r="AV277" s="1235">
        <v>11041236</v>
      </c>
      <c r="AW277" s="1235">
        <v>3277332</v>
      </c>
      <c r="AX277" s="1235">
        <v>3277332</v>
      </c>
      <c r="AY277" s="1027">
        <f t="shared" si="523"/>
        <v>0.22748809092273836</v>
      </c>
      <c r="AZ277" s="1071">
        <v>890000000</v>
      </c>
      <c r="BA277" s="1000">
        <f t="shared" si="533"/>
        <v>715482696.33000004</v>
      </c>
      <c r="BB277" s="973">
        <f t="shared" si="534"/>
        <v>0.80391314194382024</v>
      </c>
      <c r="BC277" s="1029">
        <f t="shared" si="535"/>
        <v>713477086.33000004</v>
      </c>
      <c r="BD277" s="973">
        <f t="shared" si="536"/>
        <v>0.80165964756179775</v>
      </c>
      <c r="BE277" s="1030"/>
      <c r="BF277" s="1030"/>
      <c r="BG277" s="953" t="s">
        <v>1703</v>
      </c>
      <c r="BH277" s="1236" t="s">
        <v>2674</v>
      </c>
    </row>
    <row r="278" spans="1:61" s="935" customFormat="1" ht="47.4" customHeight="1">
      <c r="A278" s="925" t="s">
        <v>2691</v>
      </c>
      <c r="B278" s="926"/>
      <c r="C278" s="926"/>
      <c r="D278" s="927"/>
      <c r="E278" s="927"/>
      <c r="F278" s="1108"/>
      <c r="G278" s="1108"/>
      <c r="H278" s="927"/>
      <c r="I278" s="927"/>
      <c r="J278" s="1108"/>
      <c r="K278" s="1108"/>
      <c r="L278" s="927"/>
      <c r="M278" s="927"/>
      <c r="N278" s="927"/>
      <c r="O278" s="928">
        <f>+(O279*AC279)+(O282*AC282)+(O284*AC284)</f>
        <v>1</v>
      </c>
      <c r="P278" s="928">
        <f t="shared" ref="P278:R278" si="551">+(P279*AD279)+(P282*AD282)+(P284*AD284)</f>
        <v>1</v>
      </c>
      <c r="Q278" s="928">
        <f t="shared" si="551"/>
        <v>0.97836000000000001</v>
      </c>
      <c r="R278" s="928">
        <f t="shared" si="551"/>
        <v>0.99282000000000004</v>
      </c>
      <c r="S278" s="1176"/>
      <c r="T278" s="1176"/>
      <c r="U278" s="926"/>
      <c r="V278" s="926"/>
      <c r="W278" s="926"/>
      <c r="X278" s="1176"/>
      <c r="Y278" s="1177"/>
      <c r="Z278" s="929">
        <f>SUM(H278:M278)</f>
        <v>0</v>
      </c>
      <c r="AA278" s="928">
        <f>+(AA279*AB279)+(AA282*AB282)+(AA284*AB284)</f>
        <v>0.99294500000000008</v>
      </c>
      <c r="AB278" s="928">
        <v>0.1</v>
      </c>
      <c r="AC278" s="928">
        <v>0.1</v>
      </c>
      <c r="AD278" s="928">
        <v>0.1</v>
      </c>
      <c r="AE278" s="928">
        <v>0.1</v>
      </c>
      <c r="AF278" s="928">
        <v>0.1</v>
      </c>
      <c r="AG278" s="926">
        <f>+AG279+AG282+AG284</f>
        <v>630000000</v>
      </c>
      <c r="AH278" s="926">
        <f>+AH279+AH282+AH284</f>
        <v>591605825</v>
      </c>
      <c r="AI278" s="926">
        <f>+AI279+AI282+AI284</f>
        <v>635300006.66000009</v>
      </c>
      <c r="AJ278" s="926">
        <f>+AJ279+AJ282+AJ284</f>
        <v>704630138</v>
      </c>
      <c r="AK278" s="926">
        <f>+AK279+AK282+AK284</f>
        <v>630000000</v>
      </c>
      <c r="AL278" s="931">
        <f t="shared" si="530"/>
        <v>1</v>
      </c>
      <c r="AM278" s="926">
        <f>+AM279+AM282+AM284</f>
        <v>393646071</v>
      </c>
      <c r="AN278" s="926">
        <f>+AN279+AN282+AN284</f>
        <v>609235528</v>
      </c>
      <c r="AO278" s="926">
        <f>+AO279+AO282+AO284</f>
        <v>693090185</v>
      </c>
      <c r="AP278" s="926">
        <f>+AP279+AP282+AP284</f>
        <v>625371238.35000002</v>
      </c>
      <c r="AQ278" s="933">
        <f t="shared" si="531"/>
        <v>0.99265275928571428</v>
      </c>
      <c r="AR278" s="926">
        <f t="shared" ref="AR278:AX278" si="552">+AR279+AR282+AR284</f>
        <v>11539953</v>
      </c>
      <c r="AS278" s="926">
        <f t="shared" si="552"/>
        <v>197959754</v>
      </c>
      <c r="AT278" s="926">
        <f t="shared" si="552"/>
        <v>160182330</v>
      </c>
      <c r="AU278" s="926">
        <f t="shared" si="552"/>
        <v>26064478.66</v>
      </c>
      <c r="AV278" s="926">
        <f t="shared" si="552"/>
        <v>21146435</v>
      </c>
      <c r="AW278" s="926">
        <f t="shared" si="552"/>
        <v>11539953</v>
      </c>
      <c r="AX278" s="926">
        <f t="shared" si="552"/>
        <v>11253228</v>
      </c>
      <c r="AY278" s="934">
        <f t="shared" si="523"/>
        <v>0.10363933024683895</v>
      </c>
      <c r="AZ278" s="926">
        <f t="shared" ref="AZ278" si="553">+AZ279+AZ282+AZ284</f>
        <v>2601919050</v>
      </c>
      <c r="BA278" s="926">
        <f t="shared" si="533"/>
        <v>2561535969.6599998</v>
      </c>
      <c r="BB278" s="928">
        <f t="shared" si="534"/>
        <v>0.98447950164321973</v>
      </c>
      <c r="BC278" s="1010">
        <f t="shared" si="535"/>
        <v>2513925015.3499999</v>
      </c>
      <c r="BD278" s="928">
        <f t="shared" si="536"/>
        <v>0.96618110211768493</v>
      </c>
      <c r="BE278" s="926"/>
      <c r="BF278" s="926" t="s">
        <v>1702</v>
      </c>
      <c r="BG278" s="926"/>
      <c r="BH278" s="926"/>
      <c r="BI278" s="935" t="s">
        <v>2103</v>
      </c>
    </row>
    <row r="279" spans="1:61" s="908" customFormat="1" ht="47.4" customHeight="1">
      <c r="A279" s="936" t="s">
        <v>2692</v>
      </c>
      <c r="B279" s="937"/>
      <c r="C279" s="937"/>
      <c r="D279" s="938"/>
      <c r="E279" s="938"/>
      <c r="F279" s="938"/>
      <c r="G279" s="938"/>
      <c r="H279" s="938"/>
      <c r="I279" s="938"/>
      <c r="J279" s="938"/>
      <c r="K279" s="938"/>
      <c r="L279" s="938"/>
      <c r="M279" s="938"/>
      <c r="N279" s="938"/>
      <c r="O279" s="939">
        <f>+SUMPRODUCT(O280:O281,AC280:AC281)</f>
        <v>1</v>
      </c>
      <c r="P279" s="939">
        <f t="shared" ref="P279:R279" si="554">+SUMPRODUCT(P280:P281,AD280:AD281)</f>
        <v>1</v>
      </c>
      <c r="Q279" s="939">
        <f t="shared" si="554"/>
        <v>1</v>
      </c>
      <c r="R279" s="939">
        <f t="shared" si="554"/>
        <v>1</v>
      </c>
      <c r="S279" s="1178"/>
      <c r="T279" s="1178"/>
      <c r="U279" s="937"/>
      <c r="V279" s="937"/>
      <c r="W279" s="937"/>
      <c r="X279" s="1178"/>
      <c r="Y279" s="1102"/>
      <c r="Z279" s="940">
        <f>SUM(H279:M279)</f>
        <v>0</v>
      </c>
      <c r="AA279" s="939">
        <f>+SUMPRODUCT(AA280:AA281,AB280:AB281)</f>
        <v>1</v>
      </c>
      <c r="AB279" s="939">
        <v>0.4</v>
      </c>
      <c r="AC279" s="939">
        <v>0.4</v>
      </c>
      <c r="AD279" s="939">
        <v>0.4</v>
      </c>
      <c r="AE279" s="939">
        <v>0.4</v>
      </c>
      <c r="AF279" s="939">
        <v>0.4</v>
      </c>
      <c r="AG279" s="937">
        <f>SUM(AG280:AG281)</f>
        <v>300000000</v>
      </c>
      <c r="AH279" s="937">
        <f>SUM(AH280:AH281)</f>
        <v>296655825</v>
      </c>
      <c r="AI279" s="937">
        <f>SUM(AI280:AI281)</f>
        <v>276893920</v>
      </c>
      <c r="AJ279" s="937">
        <f>SUM(AJ280:AJ281)</f>
        <v>324832028</v>
      </c>
      <c r="AK279" s="937">
        <f>SUM(AK280:AK281)</f>
        <v>300000000</v>
      </c>
      <c r="AL279" s="943">
        <f t="shared" si="530"/>
        <v>1</v>
      </c>
      <c r="AM279" s="937">
        <f>SUM(AM280:AM281)</f>
        <v>193096071</v>
      </c>
      <c r="AN279" s="937">
        <f>SUM(AN280:AN281)</f>
        <v>266622752</v>
      </c>
      <c r="AO279" s="937">
        <f>SUM(AO280:AO281)</f>
        <v>319554566</v>
      </c>
      <c r="AP279" s="937">
        <f>SUM(AP280:AP281)</f>
        <v>297962806.35000002</v>
      </c>
      <c r="AQ279" s="944">
        <f t="shared" si="531"/>
        <v>0.99320935450000003</v>
      </c>
      <c r="AR279" s="945">
        <f t="shared" ref="AR279:AX279" si="555">SUM(AR280:AR281)</f>
        <v>5277462</v>
      </c>
      <c r="AS279" s="937">
        <f t="shared" si="555"/>
        <v>103559754</v>
      </c>
      <c r="AT279" s="937">
        <f t="shared" si="555"/>
        <v>95782330</v>
      </c>
      <c r="AU279" s="937">
        <f t="shared" si="555"/>
        <v>10271168</v>
      </c>
      <c r="AV279" s="937">
        <f t="shared" si="555"/>
        <v>8682472</v>
      </c>
      <c r="AW279" s="937">
        <f t="shared" si="555"/>
        <v>5277462</v>
      </c>
      <c r="AX279" s="937">
        <f t="shared" si="555"/>
        <v>5156523</v>
      </c>
      <c r="AY279" s="946">
        <f t="shared" si="523"/>
        <v>0.62100532415013121</v>
      </c>
      <c r="AZ279" s="937">
        <f t="shared" ref="AZ279" si="556">SUM(AZ280:AZ281)</f>
        <v>1226919050</v>
      </c>
      <c r="BA279" s="937">
        <f t="shared" si="533"/>
        <v>1198381773</v>
      </c>
      <c r="BB279" s="939">
        <f t="shared" si="534"/>
        <v>0.97674070102668953</v>
      </c>
      <c r="BC279" s="1005">
        <f t="shared" si="535"/>
        <v>1186857520.3499999</v>
      </c>
      <c r="BD279" s="939">
        <f t="shared" si="536"/>
        <v>0.96734786239564863</v>
      </c>
      <c r="BE279" s="945"/>
      <c r="BF279" s="945"/>
      <c r="BG279" s="945"/>
      <c r="BH279" s="945"/>
    </row>
    <row r="280" spans="1:61" s="908" customFormat="1" ht="47.4" customHeight="1">
      <c r="A280" s="1220" t="s">
        <v>2693</v>
      </c>
      <c r="B280" s="980" t="s">
        <v>2694</v>
      </c>
      <c r="C280" s="948" t="s">
        <v>1056</v>
      </c>
      <c r="D280" s="1219">
        <v>1</v>
      </c>
      <c r="E280" s="1219">
        <v>1</v>
      </c>
      <c r="F280" s="1219">
        <v>1</v>
      </c>
      <c r="G280" s="1219">
        <v>1</v>
      </c>
      <c r="H280" s="1219">
        <v>1</v>
      </c>
      <c r="I280" s="951">
        <v>1</v>
      </c>
      <c r="J280" s="951">
        <v>1</v>
      </c>
      <c r="K280" s="951">
        <v>1</v>
      </c>
      <c r="L280" s="949"/>
      <c r="M280" s="949"/>
      <c r="N280" s="949"/>
      <c r="O280" s="951">
        <f t="shared" ref="O280:Q281" si="557">+IFERROR(IF((H280+L280)/D280&gt;=100%,100%,(H280+L280)/D280),0)</f>
        <v>1</v>
      </c>
      <c r="P280" s="973">
        <f t="shared" si="557"/>
        <v>1</v>
      </c>
      <c r="Q280" s="973">
        <f t="shared" si="557"/>
        <v>1</v>
      </c>
      <c r="R280" s="951">
        <f t="shared" ref="R280:R281" si="558">+IFERROR(IF(K280/G280&gt;=100%,100%,K280/G280),0)</f>
        <v>1</v>
      </c>
      <c r="S280" s="908" t="s">
        <v>2695</v>
      </c>
      <c r="T280" s="974">
        <v>45107</v>
      </c>
      <c r="U280" s="985"/>
      <c r="V280" s="985"/>
      <c r="W280" s="952"/>
      <c r="Y280" s="1256">
        <f t="shared" ref="Y280:Y281" si="559">SUM(D280:G280)</f>
        <v>4</v>
      </c>
      <c r="Z280" s="977">
        <f t="shared" ref="Z280:Z281" si="560">SUM(H280:N280)</f>
        <v>4</v>
      </c>
      <c r="AA280" s="1026">
        <f t="shared" ref="AA280:AA281" si="561">IF(Z280/Y280&gt;=100%,100%,Z280/Y280)</f>
        <v>1</v>
      </c>
      <c r="AB280" s="1092">
        <v>0.8</v>
      </c>
      <c r="AC280" s="1092">
        <v>0.8</v>
      </c>
      <c r="AD280" s="1092">
        <v>0.8</v>
      </c>
      <c r="AE280" s="1099">
        <v>0.8</v>
      </c>
      <c r="AF280" s="1099">
        <v>0.8</v>
      </c>
      <c r="AG280" s="1264">
        <v>150000000</v>
      </c>
      <c r="AH280" s="1235">
        <f>199350000+47994825</f>
        <v>247344825</v>
      </c>
      <c r="AI280" s="1264">
        <v>138446960</v>
      </c>
      <c r="AJ280" s="1264">
        <v>184904170</v>
      </c>
      <c r="AK280" s="1264">
        <v>150000000</v>
      </c>
      <c r="AL280" s="1025">
        <f t="shared" si="530"/>
        <v>1</v>
      </c>
      <c r="AM280" s="1235">
        <v>159996071</v>
      </c>
      <c r="AN280" s="1264">
        <v>133311376</v>
      </c>
      <c r="AO280" s="1264">
        <v>181801172</v>
      </c>
      <c r="AP280" s="1264">
        <v>148918063.34999999</v>
      </c>
      <c r="AQ280" s="1026">
        <f t="shared" si="531"/>
        <v>0.99278708900000001</v>
      </c>
      <c r="AR280" s="958">
        <f t="shared" ref="AR280:AR281" si="562">+AJ280-AO280</f>
        <v>3102998</v>
      </c>
      <c r="AS280" s="1235">
        <f>28998754+58350000</f>
        <v>87348754</v>
      </c>
      <c r="AT280" s="1235">
        <f>25221330+54350000</f>
        <v>79571330</v>
      </c>
      <c r="AU280" s="1235">
        <v>5135584</v>
      </c>
      <c r="AV280" s="1235">
        <v>4341236</v>
      </c>
      <c r="AW280" s="1235">
        <v>3102998</v>
      </c>
      <c r="AX280" s="1235">
        <v>3008168</v>
      </c>
      <c r="AY280" s="1027">
        <f t="shared" si="523"/>
        <v>3.6265663078094152</v>
      </c>
      <c r="AZ280" s="1071">
        <v>726919050</v>
      </c>
      <c r="BA280" s="1000">
        <f t="shared" si="533"/>
        <v>720695955</v>
      </c>
      <c r="BB280" s="1026">
        <f t="shared" si="534"/>
        <v>0.99143908114665591</v>
      </c>
      <c r="BC280" s="1029">
        <f t="shared" si="535"/>
        <v>710947416.35000002</v>
      </c>
      <c r="BD280" s="973">
        <f t="shared" si="536"/>
        <v>0.97802831876534257</v>
      </c>
      <c r="BE280" s="1030"/>
      <c r="BF280" s="969"/>
      <c r="BG280" s="953" t="s">
        <v>1703</v>
      </c>
      <c r="BH280" s="1224" t="s">
        <v>2150</v>
      </c>
    </row>
    <row r="281" spans="1:61" s="908" customFormat="1" ht="47.4" customHeight="1">
      <c r="A281" s="1220" t="s">
        <v>2696</v>
      </c>
      <c r="B281" s="980" t="s">
        <v>2697</v>
      </c>
      <c r="C281" s="980" t="s">
        <v>1056</v>
      </c>
      <c r="D281" s="1219">
        <v>0.5</v>
      </c>
      <c r="E281" s="1219">
        <v>1</v>
      </c>
      <c r="F281" s="1219">
        <v>0.5</v>
      </c>
      <c r="G281" s="1219">
        <v>1</v>
      </c>
      <c r="H281" s="1219">
        <v>0.5</v>
      </c>
      <c r="I281" s="951">
        <v>1</v>
      </c>
      <c r="J281" s="951">
        <v>0.5</v>
      </c>
      <c r="K281" s="951">
        <v>1</v>
      </c>
      <c r="L281" s="949"/>
      <c r="M281" s="949"/>
      <c r="N281" s="949"/>
      <c r="O281" s="951">
        <f t="shared" si="557"/>
        <v>1</v>
      </c>
      <c r="P281" s="973">
        <f t="shared" si="557"/>
        <v>1</v>
      </c>
      <c r="Q281" s="973">
        <f t="shared" si="557"/>
        <v>1</v>
      </c>
      <c r="R281" s="951">
        <f t="shared" si="558"/>
        <v>1</v>
      </c>
      <c r="S281" s="908" t="s">
        <v>2698</v>
      </c>
      <c r="T281" s="974">
        <v>45107</v>
      </c>
      <c r="U281" s="985"/>
      <c r="V281" s="985"/>
      <c r="W281" s="952"/>
      <c r="Y281" s="1256">
        <f t="shared" si="559"/>
        <v>3</v>
      </c>
      <c r="Z281" s="977">
        <f t="shared" si="560"/>
        <v>3</v>
      </c>
      <c r="AA281" s="1026">
        <f t="shared" si="561"/>
        <v>1</v>
      </c>
      <c r="AB281" s="1092">
        <v>0.2</v>
      </c>
      <c r="AC281" s="1092">
        <v>0.2</v>
      </c>
      <c r="AD281" s="1092">
        <v>0.2</v>
      </c>
      <c r="AE281" s="1099">
        <v>0.2</v>
      </c>
      <c r="AF281" s="1099">
        <v>0.2</v>
      </c>
      <c r="AG281" s="1264">
        <v>150000000</v>
      </c>
      <c r="AH281" s="1235">
        <v>49311000</v>
      </c>
      <c r="AI281" s="1264">
        <v>138446960</v>
      </c>
      <c r="AJ281" s="1264">
        <v>139927858</v>
      </c>
      <c r="AK281" s="1264">
        <v>150000000</v>
      </c>
      <c r="AL281" s="1025">
        <f t="shared" si="530"/>
        <v>1</v>
      </c>
      <c r="AM281" s="1235">
        <v>33100000</v>
      </c>
      <c r="AN281" s="1264">
        <v>133311376</v>
      </c>
      <c r="AO281" s="1264">
        <v>137753394</v>
      </c>
      <c r="AP281" s="1264">
        <v>149044743</v>
      </c>
      <c r="AQ281" s="1026">
        <f t="shared" si="531"/>
        <v>0.99363162000000005</v>
      </c>
      <c r="AR281" s="958">
        <f t="shared" si="562"/>
        <v>2174464</v>
      </c>
      <c r="AS281" s="1235">
        <v>16211000</v>
      </c>
      <c r="AT281" s="1235">
        <v>16211000</v>
      </c>
      <c r="AU281" s="1235">
        <v>5135584</v>
      </c>
      <c r="AV281" s="1235">
        <v>4341236</v>
      </c>
      <c r="AW281" s="1235">
        <v>2174464</v>
      </c>
      <c r="AX281" s="1235">
        <v>2148355</v>
      </c>
      <c r="AY281" s="1027">
        <f t="shared" si="523"/>
        <v>2.3713995724923476</v>
      </c>
      <c r="AZ281" s="1071">
        <v>500000000</v>
      </c>
      <c r="BA281" s="1000">
        <f t="shared" si="533"/>
        <v>477685818</v>
      </c>
      <c r="BB281" s="973">
        <f t="shared" si="534"/>
        <v>0.95537163599999997</v>
      </c>
      <c r="BC281" s="1029">
        <f t="shared" si="535"/>
        <v>475910104</v>
      </c>
      <c r="BD281" s="973">
        <f t="shared" si="536"/>
        <v>0.951820208</v>
      </c>
      <c r="BE281" s="1030"/>
      <c r="BF281" s="969"/>
      <c r="BG281" s="953" t="s">
        <v>1703</v>
      </c>
      <c r="BH281" s="1224" t="s">
        <v>2150</v>
      </c>
    </row>
    <row r="282" spans="1:61" s="908" customFormat="1" ht="47.4" customHeight="1">
      <c r="A282" s="936" t="s">
        <v>2699</v>
      </c>
      <c r="B282" s="937"/>
      <c r="C282" s="937"/>
      <c r="D282" s="938"/>
      <c r="E282" s="938"/>
      <c r="F282" s="938"/>
      <c r="G282" s="938"/>
      <c r="H282" s="938"/>
      <c r="I282" s="938"/>
      <c r="J282" s="938"/>
      <c r="K282" s="938"/>
      <c r="L282" s="938"/>
      <c r="M282" s="938"/>
      <c r="N282" s="938"/>
      <c r="O282" s="939">
        <f>+O283*AC283</f>
        <v>1</v>
      </c>
      <c r="P282" s="939">
        <f t="shared" ref="P282:Q282" si="563">+P283*AD283</f>
        <v>1</v>
      </c>
      <c r="Q282" s="939">
        <f t="shared" si="563"/>
        <v>0.89180000000000004</v>
      </c>
      <c r="R282" s="939">
        <f>+R283*AF283</f>
        <v>0.96409999999999996</v>
      </c>
      <c r="S282" s="1178"/>
      <c r="T282" s="1178"/>
      <c r="U282" s="937"/>
      <c r="V282" s="937"/>
      <c r="W282" s="937"/>
      <c r="X282" s="1178"/>
      <c r="Y282" s="1102"/>
      <c r="Z282" s="940">
        <f>SUM(H282:M282)</f>
        <v>0</v>
      </c>
      <c r="AA282" s="939">
        <f>+SUMPRODUCT(AA283:AA283,AB283:AB283)</f>
        <v>0.96472500000000005</v>
      </c>
      <c r="AB282" s="939">
        <v>0.2</v>
      </c>
      <c r="AC282" s="939">
        <v>0.2</v>
      </c>
      <c r="AD282" s="939">
        <v>0.2</v>
      </c>
      <c r="AE282" s="939">
        <v>0.2</v>
      </c>
      <c r="AF282" s="939">
        <v>0.2</v>
      </c>
      <c r="AG282" s="937">
        <f>SUM(AG283)</f>
        <v>80000000</v>
      </c>
      <c r="AH282" s="937">
        <f>SUM(AH283)</f>
        <v>79200000</v>
      </c>
      <c r="AI282" s="937">
        <f>SUM(AI283)</f>
        <v>84068979</v>
      </c>
      <c r="AJ282" s="937">
        <f>SUM(AJ283)</f>
        <v>99948316</v>
      </c>
      <c r="AK282" s="937">
        <f>SUM(AK283)</f>
        <v>80000000</v>
      </c>
      <c r="AL282" s="943">
        <f t="shared" si="530"/>
        <v>1</v>
      </c>
      <c r="AM282" s="937">
        <f>SUM(AM283)</f>
        <v>63100000</v>
      </c>
      <c r="AN282" s="937">
        <f>SUM(AN283)</f>
        <v>80987179</v>
      </c>
      <c r="AO282" s="937">
        <f>SUM(AO283)</f>
        <v>98274789</v>
      </c>
      <c r="AP282" s="937">
        <f>SUM(AP283)</f>
        <v>79490529</v>
      </c>
      <c r="AQ282" s="944">
        <f t="shared" si="531"/>
        <v>0.99363161249999998</v>
      </c>
      <c r="AR282" s="945">
        <f t="shared" ref="AR282:AX282" si="564">SUM(AR283)</f>
        <v>1673527</v>
      </c>
      <c r="AS282" s="937">
        <f t="shared" si="564"/>
        <v>16100000</v>
      </c>
      <c r="AT282" s="937">
        <f t="shared" si="564"/>
        <v>16100000</v>
      </c>
      <c r="AU282" s="937">
        <f t="shared" si="564"/>
        <v>3081800</v>
      </c>
      <c r="AV282" s="937">
        <f t="shared" si="564"/>
        <v>2605226</v>
      </c>
      <c r="AW282" s="937">
        <f t="shared" si="564"/>
        <v>1673527</v>
      </c>
      <c r="AX282" s="937">
        <f t="shared" si="564"/>
        <v>1622383</v>
      </c>
      <c r="AY282" s="946">
        <f t="shared" si="523"/>
        <v>1.7975019225862505</v>
      </c>
      <c r="AZ282" s="937">
        <f t="shared" ref="AZ282" si="565">SUM(AZ283)</f>
        <v>345000000</v>
      </c>
      <c r="BA282" s="937">
        <f t="shared" si="533"/>
        <v>343217295</v>
      </c>
      <c r="BB282" s="939">
        <f t="shared" si="534"/>
        <v>0.9948327391304348</v>
      </c>
      <c r="BC282" s="1005">
        <f t="shared" si="535"/>
        <v>342180106</v>
      </c>
      <c r="BD282" s="939">
        <f t="shared" si="536"/>
        <v>0.99182639420289853</v>
      </c>
      <c r="BE282" s="945"/>
      <c r="BF282" s="945"/>
      <c r="BG282" s="945"/>
      <c r="BH282" s="945"/>
      <c r="BI282" s="908" t="s">
        <v>2103</v>
      </c>
    </row>
    <row r="283" spans="1:61" s="908" customFormat="1" ht="47.4" customHeight="1">
      <c r="A283" s="1231" t="s">
        <v>2700</v>
      </c>
      <c r="B283" s="1232" t="s">
        <v>2701</v>
      </c>
      <c r="C283" s="948" t="s">
        <v>1056</v>
      </c>
      <c r="D283" s="1219">
        <v>1</v>
      </c>
      <c r="E283" s="1219">
        <v>1</v>
      </c>
      <c r="F283" s="1219">
        <v>1</v>
      </c>
      <c r="G283" s="1219">
        <v>1</v>
      </c>
      <c r="H283" s="1219">
        <v>0.88</v>
      </c>
      <c r="I283" s="951">
        <v>0.91300000000000003</v>
      </c>
      <c r="J283" s="971">
        <v>0.89180000000000004</v>
      </c>
      <c r="K283" s="971">
        <v>0.96409999999999996</v>
      </c>
      <c r="L283" s="951">
        <v>0.12</v>
      </c>
      <c r="M283" s="951">
        <v>0.09</v>
      </c>
      <c r="N283" s="951"/>
      <c r="O283" s="951">
        <f>+IFERROR(IF((H283+L283)/D283&gt;=100%,100%,(H283+L283)/D283),0)</f>
        <v>1</v>
      </c>
      <c r="P283" s="973">
        <f>+IFERROR(IF((I283+M283)/E283&gt;=100%,100%,(I283+M283)/E283),0)</f>
        <v>1</v>
      </c>
      <c r="Q283" s="973">
        <f>+IFERROR(IF((J283+N283)/F283&gt;=100%,100%,(J283+N283)/F283),0)</f>
        <v>0.89180000000000004</v>
      </c>
      <c r="R283" s="951">
        <f>+IFERROR(IF(K283/G283&gt;=100%,100%,K283/G283),0)</f>
        <v>0.96409999999999996</v>
      </c>
      <c r="S283" s="908" t="s">
        <v>2702</v>
      </c>
      <c r="T283" s="974">
        <v>45107</v>
      </c>
      <c r="U283" s="985" t="s">
        <v>2115</v>
      </c>
      <c r="V283" s="985"/>
      <c r="W283" s="952" t="s">
        <v>2116</v>
      </c>
      <c r="X283" s="976" t="s">
        <v>2703</v>
      </c>
      <c r="Y283" s="1256">
        <f t="shared" ref="Y283" si="566">SUM(D283:G283)</f>
        <v>4</v>
      </c>
      <c r="Z283" s="977">
        <f t="shared" ref="Z283" si="567">SUM(H283:N283)</f>
        <v>3.8589000000000002</v>
      </c>
      <c r="AA283" s="1026">
        <f t="shared" ref="AA283" si="568">IF(Z283/Y283&gt;=100%,100%,Z283/Y283)</f>
        <v>0.96472500000000005</v>
      </c>
      <c r="AB283" s="1256">
        <v>1</v>
      </c>
      <c r="AC283" s="1256">
        <v>1</v>
      </c>
      <c r="AD283" s="1256">
        <v>1</v>
      </c>
      <c r="AE283" s="1256">
        <v>1</v>
      </c>
      <c r="AF283" s="1256">
        <v>1</v>
      </c>
      <c r="AG283" s="1235">
        <v>80000000</v>
      </c>
      <c r="AH283" s="1235">
        <v>79200000</v>
      </c>
      <c r="AI283" s="1235">
        <v>84068979</v>
      </c>
      <c r="AJ283" s="1235">
        <v>99948316</v>
      </c>
      <c r="AK283" s="1235">
        <v>80000000</v>
      </c>
      <c r="AL283" s="1025">
        <f t="shared" si="530"/>
        <v>1</v>
      </c>
      <c r="AM283" s="1235">
        <v>63100000</v>
      </c>
      <c r="AN283" s="1235">
        <v>80987179</v>
      </c>
      <c r="AO283" s="1235">
        <v>98274789</v>
      </c>
      <c r="AP283" s="1235">
        <v>79490529</v>
      </c>
      <c r="AQ283" s="1026">
        <f t="shared" si="531"/>
        <v>0.99363161249999998</v>
      </c>
      <c r="AR283" s="958">
        <f>+AJ283-AO283</f>
        <v>1673527</v>
      </c>
      <c r="AS283" s="1235">
        <v>16100000</v>
      </c>
      <c r="AT283" s="1235">
        <v>16100000</v>
      </c>
      <c r="AU283" s="1235">
        <v>3081800</v>
      </c>
      <c r="AV283" s="1235">
        <v>2605226</v>
      </c>
      <c r="AW283" s="1235">
        <v>1673527</v>
      </c>
      <c r="AX283" s="1235">
        <v>1622383</v>
      </c>
      <c r="AY283" s="1027">
        <f t="shared" si="523"/>
        <v>1.2837289150399127</v>
      </c>
      <c r="AZ283" s="1071">
        <v>345000000</v>
      </c>
      <c r="BA283" s="1000">
        <f t="shared" si="533"/>
        <v>343217295</v>
      </c>
      <c r="BB283" s="973">
        <f t="shared" si="534"/>
        <v>0.9948327391304348</v>
      </c>
      <c r="BC283" s="1029">
        <f t="shared" si="535"/>
        <v>342180106</v>
      </c>
      <c r="BD283" s="973">
        <f t="shared" si="536"/>
        <v>0.99182639420289853</v>
      </c>
      <c r="BE283" s="1030"/>
      <c r="BF283" s="969"/>
      <c r="BG283" s="953" t="s">
        <v>1703</v>
      </c>
      <c r="BH283" s="1236" t="s">
        <v>2674</v>
      </c>
      <c r="BI283" s="908" t="s">
        <v>2103</v>
      </c>
    </row>
    <row r="284" spans="1:61" s="908" customFormat="1" ht="47.4" customHeight="1">
      <c r="A284" s="936" t="s">
        <v>2704</v>
      </c>
      <c r="B284" s="937"/>
      <c r="C284" s="937"/>
      <c r="D284" s="938"/>
      <c r="E284" s="938"/>
      <c r="F284" s="938"/>
      <c r="G284" s="938"/>
      <c r="H284" s="938"/>
      <c r="I284" s="938"/>
      <c r="J284" s="938"/>
      <c r="K284" s="938"/>
      <c r="L284" s="938"/>
      <c r="M284" s="938"/>
      <c r="N284" s="938"/>
      <c r="O284" s="939">
        <f>+O285*AC285</f>
        <v>1</v>
      </c>
      <c r="P284" s="939">
        <f t="shared" ref="P284:R284" si="569">+P285*AD285</f>
        <v>1</v>
      </c>
      <c r="Q284" s="939">
        <f t="shared" si="569"/>
        <v>1</v>
      </c>
      <c r="R284" s="939">
        <f t="shared" si="569"/>
        <v>1</v>
      </c>
      <c r="S284" s="1178"/>
      <c r="T284" s="1178"/>
      <c r="U284" s="937"/>
      <c r="V284" s="937"/>
      <c r="W284" s="937"/>
      <c r="X284" s="1178"/>
      <c r="Y284" s="1102"/>
      <c r="Z284" s="940">
        <f>SUM(H284:M284)</f>
        <v>0</v>
      </c>
      <c r="AA284" s="939">
        <f>+SUMPRODUCT(AA285:AA285,AB285:AB285)</f>
        <v>1</v>
      </c>
      <c r="AB284" s="939">
        <v>0.4</v>
      </c>
      <c r="AC284" s="939">
        <v>0.4</v>
      </c>
      <c r="AD284" s="939">
        <v>0.4</v>
      </c>
      <c r="AE284" s="939">
        <v>0.4</v>
      </c>
      <c r="AF284" s="939">
        <v>0.4</v>
      </c>
      <c r="AG284" s="937">
        <f>SUM(AG285)</f>
        <v>250000000</v>
      </c>
      <c r="AH284" s="937">
        <f>SUM(AH285)</f>
        <v>215750000</v>
      </c>
      <c r="AI284" s="937">
        <f>SUM(AI285)</f>
        <v>274337107.66000003</v>
      </c>
      <c r="AJ284" s="937">
        <f>SUM(AJ285)</f>
        <v>279849794</v>
      </c>
      <c r="AK284" s="937">
        <f>SUM(AK285)</f>
        <v>250000000</v>
      </c>
      <c r="AL284" s="943">
        <f t="shared" si="530"/>
        <v>1</v>
      </c>
      <c r="AM284" s="937">
        <f>SUM(AM285)</f>
        <v>137450000</v>
      </c>
      <c r="AN284" s="937">
        <f>SUM(AN285)</f>
        <v>261625597</v>
      </c>
      <c r="AO284" s="937">
        <f>SUM(AO285)</f>
        <v>275260830</v>
      </c>
      <c r="AP284" s="937">
        <f>SUM(AP285)</f>
        <v>247917903</v>
      </c>
      <c r="AQ284" s="944">
        <f t="shared" si="531"/>
        <v>0.99167161199999998</v>
      </c>
      <c r="AR284" s="945">
        <f t="shared" ref="AR284:AX284" si="570">SUM(AR285)</f>
        <v>4588964</v>
      </c>
      <c r="AS284" s="937">
        <f t="shared" si="570"/>
        <v>78300000</v>
      </c>
      <c r="AT284" s="937">
        <f t="shared" si="570"/>
        <v>48300000</v>
      </c>
      <c r="AU284" s="937">
        <f t="shared" si="570"/>
        <v>12711510.66</v>
      </c>
      <c r="AV284" s="937">
        <f t="shared" si="570"/>
        <v>9858737</v>
      </c>
      <c r="AW284" s="937">
        <f t="shared" si="570"/>
        <v>4588964</v>
      </c>
      <c r="AX284" s="937">
        <f t="shared" si="570"/>
        <v>4474322</v>
      </c>
      <c r="AY284" s="946">
        <f t="shared" si="523"/>
        <v>0.35354014544459272</v>
      </c>
      <c r="AZ284" s="937">
        <f>SUM(AZ285)</f>
        <v>1030000000</v>
      </c>
      <c r="BA284" s="937">
        <f t="shared" si="533"/>
        <v>1019936901.6600001</v>
      </c>
      <c r="BB284" s="939">
        <f t="shared" si="534"/>
        <v>0.99023000161165053</v>
      </c>
      <c r="BC284" s="1005">
        <f t="shared" si="535"/>
        <v>984887389</v>
      </c>
      <c r="BD284" s="939">
        <f t="shared" si="536"/>
        <v>0.95620134854368932</v>
      </c>
      <c r="BE284" s="945"/>
      <c r="BF284" s="945"/>
      <c r="BG284" s="945"/>
      <c r="BH284" s="945"/>
    </row>
    <row r="285" spans="1:61" s="908" customFormat="1" ht="47.4" customHeight="1">
      <c r="A285" s="1220" t="s">
        <v>2705</v>
      </c>
      <c r="B285" s="980" t="s">
        <v>2706</v>
      </c>
      <c r="C285" s="948" t="s">
        <v>1056</v>
      </c>
      <c r="D285" s="1219">
        <v>1</v>
      </c>
      <c r="E285" s="1219">
        <v>1</v>
      </c>
      <c r="F285" s="1219">
        <v>1</v>
      </c>
      <c r="G285" s="1219">
        <v>1</v>
      </c>
      <c r="H285" s="1219">
        <v>1</v>
      </c>
      <c r="I285" s="951">
        <v>1</v>
      </c>
      <c r="J285" s="951">
        <v>1</v>
      </c>
      <c r="K285" s="951">
        <v>1</v>
      </c>
      <c r="L285" s="949"/>
      <c r="M285" s="949"/>
      <c r="N285" s="949"/>
      <c r="O285" s="951">
        <f>+IFERROR(IF((H285+L285)/D285&gt;=100%,100%,(H285+L285)/D285),0)</f>
        <v>1</v>
      </c>
      <c r="P285" s="973">
        <f>+IFERROR(IF((I285+M285)/E285&gt;=100%,100%,(I285+M285)/E285),0)</f>
        <v>1</v>
      </c>
      <c r="Q285" s="973">
        <f>+IFERROR(IF((J285+N285)/F285&gt;=100%,100%,(J285+N285)/F285),0)</f>
        <v>1</v>
      </c>
      <c r="R285" s="951">
        <f>+IFERROR(IF(K285/G285&gt;=100%,100%,K285/G285),0)</f>
        <v>1</v>
      </c>
      <c r="S285" s="908" t="s">
        <v>2707</v>
      </c>
      <c r="T285" s="974">
        <v>45107</v>
      </c>
      <c r="U285" s="985"/>
      <c r="V285" s="985"/>
      <c r="W285" s="952"/>
      <c r="X285" s="976"/>
      <c r="Y285" s="1256">
        <f t="shared" ref="Y285" si="571">SUM(D285:G285)</f>
        <v>4</v>
      </c>
      <c r="Z285" s="977">
        <f t="shared" ref="Z285" si="572">SUM(H285:N285)</f>
        <v>4</v>
      </c>
      <c r="AA285" s="1026">
        <f t="shared" ref="AA285" si="573">IF(Z285/Y285&gt;=100%,100%,Z285/Y285)</f>
        <v>1</v>
      </c>
      <c r="AB285" s="1256">
        <v>1</v>
      </c>
      <c r="AC285" s="1256">
        <v>1</v>
      </c>
      <c r="AD285" s="1256">
        <v>1</v>
      </c>
      <c r="AE285" s="1256">
        <v>1</v>
      </c>
      <c r="AF285" s="1256">
        <v>1</v>
      </c>
      <c r="AG285" s="1223">
        <v>250000000</v>
      </c>
      <c r="AH285" s="1223">
        <v>215750000</v>
      </c>
      <c r="AI285" s="1223">
        <v>274337107.66000003</v>
      </c>
      <c r="AJ285" s="1223">
        <v>279849794</v>
      </c>
      <c r="AK285" s="1223">
        <v>250000000</v>
      </c>
      <c r="AL285" s="1025">
        <f t="shared" si="530"/>
        <v>1</v>
      </c>
      <c r="AM285" s="1223">
        <v>137450000</v>
      </c>
      <c r="AN285" s="1223">
        <v>261625597</v>
      </c>
      <c r="AO285" s="1223">
        <v>275260830</v>
      </c>
      <c r="AP285" s="1223">
        <v>247917903</v>
      </c>
      <c r="AQ285" s="1026">
        <f t="shared" si="531"/>
        <v>0.99167161199999998</v>
      </c>
      <c r="AR285" s="958">
        <f>+AJ285-AO285</f>
        <v>4588964</v>
      </c>
      <c r="AS285" s="1223">
        <v>78300000</v>
      </c>
      <c r="AT285" s="1223">
        <v>48300000</v>
      </c>
      <c r="AU285" s="1223">
        <v>12711510.66</v>
      </c>
      <c r="AV285" s="1223">
        <v>9858737</v>
      </c>
      <c r="AW285" s="1223">
        <v>4588964</v>
      </c>
      <c r="AX285" s="1223">
        <v>4474322</v>
      </c>
      <c r="AY285" s="1027">
        <f t="shared" si="523"/>
        <v>0.35354014544459272</v>
      </c>
      <c r="AZ285" s="1071">
        <v>1030000000</v>
      </c>
      <c r="BA285" s="1000">
        <f t="shared" si="533"/>
        <v>1019936901.6600001</v>
      </c>
      <c r="BB285" s="973">
        <f t="shared" si="534"/>
        <v>0.99023000161165053</v>
      </c>
      <c r="BC285" s="1029">
        <f t="shared" si="535"/>
        <v>984887389</v>
      </c>
      <c r="BD285" s="973">
        <f t="shared" si="536"/>
        <v>0.95620134854368932</v>
      </c>
      <c r="BE285" s="969"/>
      <c r="BF285" s="969"/>
      <c r="BG285" s="953" t="s">
        <v>1703</v>
      </c>
      <c r="BH285" s="1224" t="s">
        <v>2150</v>
      </c>
    </row>
    <row r="286" spans="1:61" s="935" customFormat="1" ht="47.4" customHeight="1">
      <c r="A286" s="925" t="s">
        <v>2708</v>
      </c>
      <c r="B286" s="926"/>
      <c r="C286" s="926"/>
      <c r="D286" s="927"/>
      <c r="E286" s="927"/>
      <c r="F286" s="1108"/>
      <c r="G286" s="1108"/>
      <c r="H286" s="927"/>
      <c r="I286" s="927"/>
      <c r="J286" s="1108"/>
      <c r="K286" s="1108"/>
      <c r="L286" s="927"/>
      <c r="M286" s="927"/>
      <c r="N286" s="927"/>
      <c r="O286" s="928">
        <f>+(O287*AC287)+(O289*AC289)</f>
        <v>0.67999999999999994</v>
      </c>
      <c r="P286" s="928">
        <f t="shared" ref="P286:R286" si="574">+(P287*AD287)+(P289*AD289)</f>
        <v>1</v>
      </c>
      <c r="Q286" s="928">
        <f t="shared" si="574"/>
        <v>0.98249999999999993</v>
      </c>
      <c r="R286" s="928">
        <f t="shared" si="574"/>
        <v>0.95</v>
      </c>
      <c r="S286" s="1176"/>
      <c r="T286" s="1176"/>
      <c r="U286" s="926"/>
      <c r="V286" s="926"/>
      <c r="W286" s="926"/>
      <c r="X286" s="1176"/>
      <c r="Y286" s="1177"/>
      <c r="Z286" s="929">
        <f>SUM(H286:M286)</f>
        <v>0</v>
      </c>
      <c r="AA286" s="928">
        <f>+(AA287*AB287)+(AA289*AB289)</f>
        <v>0.9108750000000001</v>
      </c>
      <c r="AB286" s="928">
        <v>0.1</v>
      </c>
      <c r="AC286" s="928">
        <v>0.1</v>
      </c>
      <c r="AD286" s="928">
        <v>0.1</v>
      </c>
      <c r="AE286" s="928">
        <v>0.1</v>
      </c>
      <c r="AF286" s="928">
        <v>0.1</v>
      </c>
      <c r="AG286" s="926">
        <f>+AG287+AG289</f>
        <v>1300000000</v>
      </c>
      <c r="AH286" s="926">
        <f>+AH287+AH289</f>
        <v>516510025</v>
      </c>
      <c r="AI286" s="926">
        <f>+AI287+AI289</f>
        <v>767376643.79999995</v>
      </c>
      <c r="AJ286" s="926">
        <f>+AJ287+AJ289</f>
        <v>1194059194.74</v>
      </c>
      <c r="AK286" s="926">
        <f>+AK287+AK289</f>
        <v>1282843946.6700001</v>
      </c>
      <c r="AL286" s="931">
        <f t="shared" si="530"/>
        <v>0.98680303590000007</v>
      </c>
      <c r="AM286" s="926">
        <f>+AM287+AM289</f>
        <v>462195502</v>
      </c>
      <c r="AN286" s="926">
        <f>+AN287+AN289</f>
        <v>342271445</v>
      </c>
      <c r="AO286" s="926">
        <f>+AO287+AO289</f>
        <v>1145881107.95</v>
      </c>
      <c r="AP286" s="926">
        <f>+AP287+AP289</f>
        <v>988783003.23000002</v>
      </c>
      <c r="AQ286" s="933">
        <f t="shared" si="531"/>
        <v>0.76060231017692315</v>
      </c>
      <c r="AR286" s="926">
        <f t="shared" ref="AR286:AX286" si="575">+AR287+AR289</f>
        <v>48178086.789999962</v>
      </c>
      <c r="AS286" s="926">
        <f t="shared" si="575"/>
        <v>54314523</v>
      </c>
      <c r="AT286" s="926">
        <f t="shared" si="575"/>
        <v>51321583</v>
      </c>
      <c r="AU286" s="926">
        <f t="shared" si="575"/>
        <v>425105198.80000001</v>
      </c>
      <c r="AV286" s="926">
        <f t="shared" si="575"/>
        <v>419514621.80000001</v>
      </c>
      <c r="AW286" s="926">
        <f t="shared" si="575"/>
        <v>48178086.790000007</v>
      </c>
      <c r="AX286" s="926">
        <f t="shared" si="575"/>
        <v>46707005.859999999</v>
      </c>
      <c r="AY286" s="934">
        <f t="shared" si="523"/>
        <v>9.2870479052080249E-2</v>
      </c>
      <c r="AZ286" s="926">
        <f>+AZ287+AZ289</f>
        <v>4718666238</v>
      </c>
      <c r="BA286" s="926">
        <f t="shared" si="533"/>
        <v>3760789810.21</v>
      </c>
      <c r="BB286" s="1109">
        <f t="shared" si="534"/>
        <v>0.7970027165566187</v>
      </c>
      <c r="BC286" s="1230">
        <f t="shared" si="535"/>
        <v>3456674268.8400006</v>
      </c>
      <c r="BD286" s="1109">
        <f t="shared" si="536"/>
        <v>0.73255324587337356</v>
      </c>
      <c r="BE286" s="926"/>
      <c r="BF286" s="926" t="s">
        <v>1702</v>
      </c>
      <c r="BG286" s="926"/>
      <c r="BH286" s="926"/>
      <c r="BI286" s="935" t="s">
        <v>2103</v>
      </c>
    </row>
    <row r="287" spans="1:61" s="908" customFormat="1" ht="46.5" hidden="1" customHeight="1">
      <c r="A287" s="936" t="s">
        <v>2709</v>
      </c>
      <c r="B287" s="937"/>
      <c r="C287" s="937"/>
      <c r="D287" s="938"/>
      <c r="E287" s="938"/>
      <c r="F287" s="938"/>
      <c r="G287" s="938"/>
      <c r="H287" s="938"/>
      <c r="I287" s="938"/>
      <c r="J287" s="938"/>
      <c r="K287" s="938"/>
      <c r="L287" s="938"/>
      <c r="M287" s="938"/>
      <c r="N287" s="938"/>
      <c r="O287" s="939">
        <f>+O288*AC288</f>
        <v>0</v>
      </c>
      <c r="P287" s="939">
        <f t="shared" ref="P287:R287" si="576">+P288*AD288</f>
        <v>1</v>
      </c>
      <c r="Q287" s="939">
        <f t="shared" si="576"/>
        <v>0</v>
      </c>
      <c r="R287" s="939">
        <f t="shared" si="576"/>
        <v>0</v>
      </c>
      <c r="S287" s="1178"/>
      <c r="T287" s="1178"/>
      <c r="U287" s="937"/>
      <c r="V287" s="937"/>
      <c r="W287" s="937"/>
      <c r="X287" s="1178"/>
      <c r="Y287" s="1102"/>
      <c r="Z287" s="940">
        <f>SUM(H287:M287)</f>
        <v>0</v>
      </c>
      <c r="AA287" s="939">
        <f>+SUMPRODUCT(AA288:AA288,AB288:AB288)</f>
        <v>0.5</v>
      </c>
      <c r="AB287" s="939">
        <v>0.05</v>
      </c>
      <c r="AC287" s="939">
        <v>0</v>
      </c>
      <c r="AD287" s="939">
        <v>0.05</v>
      </c>
      <c r="AE287" s="939">
        <v>0</v>
      </c>
      <c r="AF287" s="939">
        <v>0.05</v>
      </c>
      <c r="AG287" s="937">
        <f>SUM(AG288)</f>
        <v>100000000</v>
      </c>
      <c r="AH287" s="937">
        <f>SUM(AH288)</f>
        <v>0</v>
      </c>
      <c r="AI287" s="937">
        <f>SUM(AI288)</f>
        <v>13303871</v>
      </c>
      <c r="AJ287" s="937">
        <f>SUM(AJ288)</f>
        <v>0</v>
      </c>
      <c r="AK287" s="937">
        <f>SUM(AK288)</f>
        <v>99956016</v>
      </c>
      <c r="AL287" s="943">
        <f t="shared" si="530"/>
        <v>0.99956016000000003</v>
      </c>
      <c r="AM287" s="937">
        <f>SUM(AM288)</f>
        <v>0</v>
      </c>
      <c r="AN287" s="937">
        <f>SUM(AN288)</f>
        <v>3262173</v>
      </c>
      <c r="AO287" s="937">
        <f>SUM(AO288)</f>
        <v>0</v>
      </c>
      <c r="AP287" s="937">
        <f>SUM(AP288)</f>
        <v>87370517</v>
      </c>
      <c r="AQ287" s="944">
        <f t="shared" si="531"/>
        <v>0.87370517000000003</v>
      </c>
      <c r="AR287" s="945">
        <f t="shared" ref="AR287:AX287" si="577">SUM(AR288)</f>
        <v>0</v>
      </c>
      <c r="AS287" s="937">
        <f t="shared" si="577"/>
        <v>0</v>
      </c>
      <c r="AT287" s="937">
        <f t="shared" si="577"/>
        <v>0</v>
      </c>
      <c r="AU287" s="937">
        <f t="shared" si="577"/>
        <v>10041698</v>
      </c>
      <c r="AV287" s="937">
        <f t="shared" si="577"/>
        <v>9285978</v>
      </c>
      <c r="AW287" s="937">
        <f t="shared" si="577"/>
        <v>0</v>
      </c>
      <c r="AX287" s="937">
        <f t="shared" si="577"/>
        <v>0</v>
      </c>
      <c r="AY287" s="946" t="e">
        <f t="shared" si="523"/>
        <v>#DIV/0!</v>
      </c>
      <c r="AZ287" s="937">
        <f>SUM(AZ288)</f>
        <v>190000000</v>
      </c>
      <c r="BA287" s="937">
        <f t="shared" si="533"/>
        <v>113259887</v>
      </c>
      <c r="BB287" s="939">
        <f t="shared" si="534"/>
        <v>0.59610466842105259</v>
      </c>
      <c r="BC287" s="1005">
        <f t="shared" si="535"/>
        <v>99918668</v>
      </c>
      <c r="BD287" s="939">
        <f t="shared" si="536"/>
        <v>0.52588772631578951</v>
      </c>
      <c r="BE287" s="945"/>
      <c r="BF287" s="945"/>
      <c r="BG287" s="945"/>
      <c r="BH287" s="945"/>
      <c r="BI287" s="908" t="s">
        <v>2103</v>
      </c>
    </row>
    <row r="288" spans="1:61" s="908" customFormat="1" ht="47.4" customHeight="1">
      <c r="A288" s="1231" t="s">
        <v>2710</v>
      </c>
      <c r="B288" s="1232" t="s">
        <v>2711</v>
      </c>
      <c r="C288" s="980" t="s">
        <v>2108</v>
      </c>
      <c r="D288" s="1046">
        <v>0</v>
      </c>
      <c r="E288" s="1046">
        <v>1</v>
      </c>
      <c r="F288" s="1046">
        <v>0</v>
      </c>
      <c r="G288" s="1046">
        <v>1</v>
      </c>
      <c r="H288" s="949">
        <v>0</v>
      </c>
      <c r="I288" s="949">
        <v>0</v>
      </c>
      <c r="J288" s="949">
        <v>0</v>
      </c>
      <c r="K288" s="949">
        <v>0</v>
      </c>
      <c r="L288" s="949"/>
      <c r="M288" s="949">
        <v>1</v>
      </c>
      <c r="N288" s="949"/>
      <c r="O288" s="951">
        <f>+IFERROR(IF((H288+L288)/D288&gt;=100%,100%,(H288+L288)/D288),0)</f>
        <v>0</v>
      </c>
      <c r="P288" s="951">
        <f t="shared" ref="P288:R288" si="578">+IFERROR(IF((I288+M288)/E288&gt;=100%,100%,(I288+M288)/E288),0)</f>
        <v>1</v>
      </c>
      <c r="Q288" s="951">
        <f t="shared" si="578"/>
        <v>0</v>
      </c>
      <c r="R288" s="951">
        <f t="shared" si="578"/>
        <v>0</v>
      </c>
      <c r="S288" s="908" t="s">
        <v>2712</v>
      </c>
      <c r="T288" s="974">
        <v>45107</v>
      </c>
      <c r="U288" s="954"/>
      <c r="V288" s="912"/>
      <c r="W288" s="953"/>
      <c r="Y288" s="912">
        <f t="shared" ref="Y288" si="579">SUM(D288:G288)</f>
        <v>2</v>
      </c>
      <c r="Z288" s="956">
        <f t="shared" ref="Z288" si="580">SUM(H288:N288)</f>
        <v>1</v>
      </c>
      <c r="AA288" s="971">
        <f t="shared" ref="AA288" si="581">IF(Z288/Y288&gt;=100%,100%,Z288/Y288)</f>
        <v>0.5</v>
      </c>
      <c r="AB288" s="1256">
        <v>1</v>
      </c>
      <c r="AC288" s="1256">
        <v>0</v>
      </c>
      <c r="AD288" s="1256">
        <v>1</v>
      </c>
      <c r="AE288" s="1256">
        <v>0</v>
      </c>
      <c r="AF288" s="1256">
        <v>1</v>
      </c>
      <c r="AG288" s="1235">
        <v>100000000</v>
      </c>
      <c r="AH288" s="1235">
        <v>0</v>
      </c>
      <c r="AI288" s="1235">
        <v>13303871</v>
      </c>
      <c r="AJ288" s="1235">
        <v>0</v>
      </c>
      <c r="AK288" s="1235">
        <v>99956016</v>
      </c>
      <c r="AL288" s="1025">
        <f t="shared" si="530"/>
        <v>0.99956016000000003</v>
      </c>
      <c r="AM288" s="1235">
        <v>0</v>
      </c>
      <c r="AN288" s="1235">
        <v>3262173</v>
      </c>
      <c r="AO288" s="1235">
        <v>0</v>
      </c>
      <c r="AP288" s="1235">
        <v>87370517</v>
      </c>
      <c r="AQ288" s="1026">
        <f t="shared" si="531"/>
        <v>0.87370517000000003</v>
      </c>
      <c r="AR288" s="958">
        <f>+AJ288-AO288</f>
        <v>0</v>
      </c>
      <c r="AS288" s="1235">
        <v>0</v>
      </c>
      <c r="AT288" s="1235">
        <v>0</v>
      </c>
      <c r="AU288" s="1235">
        <v>10041698</v>
      </c>
      <c r="AV288" s="1235">
        <v>9285978</v>
      </c>
      <c r="AW288" s="1235"/>
      <c r="AX288" s="1235"/>
      <c r="AY288" s="1027" t="e">
        <f t="shared" si="523"/>
        <v>#DIV/0!</v>
      </c>
      <c r="AZ288" s="1071">
        <v>190000000</v>
      </c>
      <c r="BA288" s="1000">
        <f t="shared" si="533"/>
        <v>113259887</v>
      </c>
      <c r="BB288" s="973">
        <f t="shared" si="534"/>
        <v>0.59610466842105259</v>
      </c>
      <c r="BC288" s="1029">
        <f t="shared" si="535"/>
        <v>99918668</v>
      </c>
      <c r="BD288" s="973">
        <f t="shared" si="536"/>
        <v>0.52588772631578951</v>
      </c>
      <c r="BE288" s="1030"/>
      <c r="BF288" s="969"/>
      <c r="BG288" s="953" t="s">
        <v>1703</v>
      </c>
      <c r="BH288" s="1236" t="s">
        <v>2411</v>
      </c>
      <c r="BI288" s="908" t="s">
        <v>2103</v>
      </c>
    </row>
    <row r="289" spans="1:60" s="908" customFormat="1" ht="47.4" customHeight="1">
      <c r="A289" s="936" t="s">
        <v>2713</v>
      </c>
      <c r="B289" s="937"/>
      <c r="C289" s="937"/>
      <c r="D289" s="938"/>
      <c r="E289" s="938"/>
      <c r="F289" s="938"/>
      <c r="G289" s="938"/>
      <c r="H289" s="938"/>
      <c r="I289" s="938"/>
      <c r="J289" s="938"/>
      <c r="K289" s="938"/>
      <c r="L289" s="938"/>
      <c r="M289" s="938"/>
      <c r="N289" s="938"/>
      <c r="O289" s="939">
        <f>+SUMPRODUCT(O290:O292,AC290:AC292)</f>
        <v>0.67999999999999994</v>
      </c>
      <c r="P289" s="939">
        <f t="shared" ref="P289:R289" si="582">+SUMPRODUCT(P290:P292,AD290:AD292)</f>
        <v>1</v>
      </c>
      <c r="Q289" s="939">
        <f t="shared" si="582"/>
        <v>0.98249999999999993</v>
      </c>
      <c r="R289" s="939">
        <f t="shared" si="582"/>
        <v>1</v>
      </c>
      <c r="S289" s="1178"/>
      <c r="T289" s="1178"/>
      <c r="U289" s="937"/>
      <c r="V289" s="937"/>
      <c r="W289" s="937"/>
      <c r="X289" s="1178"/>
      <c r="Y289" s="1102"/>
      <c r="Z289" s="940">
        <f>SUM(H289:M289)</f>
        <v>0</v>
      </c>
      <c r="AA289" s="939">
        <f>+SUMPRODUCT(AA290:AA292,AB290:AB292)</f>
        <v>0.93250000000000011</v>
      </c>
      <c r="AB289" s="939">
        <v>0.95</v>
      </c>
      <c r="AC289" s="939">
        <v>1</v>
      </c>
      <c r="AD289" s="939">
        <v>0.95</v>
      </c>
      <c r="AE289" s="939">
        <v>1</v>
      </c>
      <c r="AF289" s="939">
        <v>0.95</v>
      </c>
      <c r="AG289" s="937">
        <f>SUM(AG290:AG292)</f>
        <v>1200000000</v>
      </c>
      <c r="AH289" s="937">
        <f>SUM(AH290:AH292)</f>
        <v>516510025</v>
      </c>
      <c r="AI289" s="937">
        <f>SUM(AI290:AI292)</f>
        <v>754072772.79999995</v>
      </c>
      <c r="AJ289" s="937">
        <f>SUM(AJ290:AJ292)</f>
        <v>1194059194.74</v>
      </c>
      <c r="AK289" s="937">
        <f>SUM(AK290:AK292)</f>
        <v>1182887930.6700001</v>
      </c>
      <c r="AL289" s="943">
        <f t="shared" si="530"/>
        <v>0.98573994222500005</v>
      </c>
      <c r="AM289" s="937">
        <f>SUM(AM290:AM292)</f>
        <v>462195502</v>
      </c>
      <c r="AN289" s="937">
        <f>SUM(AN290:AN292)</f>
        <v>339009272</v>
      </c>
      <c r="AO289" s="937">
        <f>SUM(AO290:AO292)</f>
        <v>1145881107.95</v>
      </c>
      <c r="AP289" s="937">
        <f>SUM(AP290:AP292)</f>
        <v>901412486.23000002</v>
      </c>
      <c r="AQ289" s="944">
        <f t="shared" si="531"/>
        <v>0.75117707185833338</v>
      </c>
      <c r="AR289" s="945">
        <f t="shared" ref="AR289:AX289" si="583">SUM(AR290:AR292)</f>
        <v>48178086.789999962</v>
      </c>
      <c r="AS289" s="945">
        <f t="shared" si="583"/>
        <v>54314523</v>
      </c>
      <c r="AT289" s="945">
        <f t="shared" si="583"/>
        <v>51321583</v>
      </c>
      <c r="AU289" s="945">
        <f t="shared" si="583"/>
        <v>415063500.80000001</v>
      </c>
      <c r="AV289" s="945">
        <f t="shared" si="583"/>
        <v>410228643.80000001</v>
      </c>
      <c r="AW289" s="945">
        <f t="shared" si="583"/>
        <v>48178086.790000007</v>
      </c>
      <c r="AX289" s="945">
        <f t="shared" si="583"/>
        <v>46707005.859999999</v>
      </c>
      <c r="AY289" s="946">
        <f t="shared" si="523"/>
        <v>0</v>
      </c>
      <c r="AZ289" s="937">
        <f t="shared" ref="AZ289" si="584">SUM(AZ290:AZ292)</f>
        <v>4528666238</v>
      </c>
      <c r="BA289" s="937">
        <f t="shared" si="533"/>
        <v>3647529923.21</v>
      </c>
      <c r="BB289" s="939">
        <f t="shared" si="534"/>
        <v>0.80543138564807615</v>
      </c>
      <c r="BC289" s="1005">
        <f t="shared" si="535"/>
        <v>3356755600.8400006</v>
      </c>
      <c r="BD289" s="939">
        <f t="shared" si="536"/>
        <v>0.7412238889838012</v>
      </c>
      <c r="BE289" s="945"/>
      <c r="BF289" s="945"/>
      <c r="BG289" s="945"/>
      <c r="BH289" s="945"/>
    </row>
    <row r="290" spans="1:60" s="908" customFormat="1" ht="47.4" customHeight="1">
      <c r="A290" s="1243" t="s">
        <v>2714</v>
      </c>
      <c r="B290" s="1244" t="s">
        <v>2715</v>
      </c>
      <c r="C290" s="1244" t="s">
        <v>1056</v>
      </c>
      <c r="D290" s="1219">
        <v>1</v>
      </c>
      <c r="E290" s="1219">
        <v>1</v>
      </c>
      <c r="F290" s="1219">
        <v>1</v>
      </c>
      <c r="G290" s="1219">
        <v>1</v>
      </c>
      <c r="H290" s="1219">
        <v>0.78</v>
      </c>
      <c r="I290" s="951">
        <v>1</v>
      </c>
      <c r="J290" s="957">
        <v>0.96499999999999997</v>
      </c>
      <c r="K290" s="957">
        <v>1</v>
      </c>
      <c r="L290" s="951">
        <v>0.22</v>
      </c>
      <c r="M290" s="951"/>
      <c r="N290" s="951"/>
      <c r="O290" s="951">
        <f t="shared" ref="O290:Q292" si="585">+IFERROR(IF((H290+L290)/D290&gt;=100%,100%,(H290+L290)/D290),0)</f>
        <v>1</v>
      </c>
      <c r="P290" s="973">
        <f t="shared" si="585"/>
        <v>1</v>
      </c>
      <c r="Q290" s="973">
        <f t="shared" si="585"/>
        <v>0.96499999999999997</v>
      </c>
      <c r="R290" s="951">
        <f t="shared" ref="R290:R292" si="586">+IFERROR(IF(K290/G290&gt;=100%,100%,K290/G290),0)</f>
        <v>1</v>
      </c>
      <c r="S290" s="1198" t="s">
        <v>2716</v>
      </c>
      <c r="T290" s="974">
        <v>45107</v>
      </c>
      <c r="U290" s="985" t="s">
        <v>2115</v>
      </c>
      <c r="V290" s="985"/>
      <c r="W290" s="952" t="s">
        <v>2116</v>
      </c>
      <c r="X290" s="976" t="s">
        <v>2717</v>
      </c>
      <c r="Y290" s="1266">
        <f t="shared" ref="Y290:Y292" si="587">SUM(D290:G290)</f>
        <v>4</v>
      </c>
      <c r="Z290" s="977">
        <f t="shared" ref="Z290:Z292" si="588">SUM(H290:N290)</f>
        <v>3.9650000000000003</v>
      </c>
      <c r="AA290" s="1026">
        <f t="shared" ref="AA290:AA292" si="589">IF(Z290/Y290&gt;=100%,100%,Z290/Y290)</f>
        <v>0.99125000000000008</v>
      </c>
      <c r="AB290" s="1273">
        <v>0.4</v>
      </c>
      <c r="AC290" s="1273">
        <v>0.5</v>
      </c>
      <c r="AD290" s="1273">
        <v>0.4</v>
      </c>
      <c r="AE290" s="1273">
        <v>0.5</v>
      </c>
      <c r="AF290" s="1273">
        <v>0.5</v>
      </c>
      <c r="AG290" s="1245">
        <v>340000000</v>
      </c>
      <c r="AH290" s="1245">
        <f>51250000+465260025</f>
        <v>516510025</v>
      </c>
      <c r="AI290" s="1245">
        <v>163961645</v>
      </c>
      <c r="AJ290" s="1245">
        <v>596890161.70000005</v>
      </c>
      <c r="AK290" s="1245">
        <v>337713448.13999999</v>
      </c>
      <c r="AL290" s="1025">
        <f t="shared" si="530"/>
        <v>0.99327484747058814</v>
      </c>
      <c r="AM290" s="1245">
        <v>462195502</v>
      </c>
      <c r="AN290" s="1245">
        <v>132837706</v>
      </c>
      <c r="AO290" s="1245">
        <v>592985606</v>
      </c>
      <c r="AP290" s="1245">
        <v>272768969.60000002</v>
      </c>
      <c r="AQ290" s="1026">
        <f t="shared" si="531"/>
        <v>0.80226167529411774</v>
      </c>
      <c r="AR290" s="958">
        <f t="shared" ref="AR290:AR292" si="590">+AJ290-AO290</f>
        <v>3904555.7000000477</v>
      </c>
      <c r="AS290" s="1245">
        <f>38664523+15650000</f>
        <v>54314523</v>
      </c>
      <c r="AT290" s="1245">
        <f>35671583+15650000</f>
        <v>51321583</v>
      </c>
      <c r="AU290" s="1245">
        <v>31123939</v>
      </c>
      <c r="AV290" s="1245">
        <v>29864543</v>
      </c>
      <c r="AW290" s="1245">
        <v>3904555.7</v>
      </c>
      <c r="AX290" s="1245">
        <v>3904555</v>
      </c>
      <c r="AY290" s="1027">
        <f t="shared" si="523"/>
        <v>0</v>
      </c>
      <c r="AZ290" s="1071">
        <v>1818666238</v>
      </c>
      <c r="BA290" s="1000">
        <f t="shared" si="533"/>
        <v>1615075279.8400002</v>
      </c>
      <c r="BB290" s="1026">
        <f t="shared" si="534"/>
        <v>0.8880547986727404</v>
      </c>
      <c r="BC290" s="1029">
        <f t="shared" si="535"/>
        <v>1545878464.5999999</v>
      </c>
      <c r="BD290" s="973">
        <f t="shared" si="536"/>
        <v>0.85000668748324781</v>
      </c>
      <c r="BE290" s="1030"/>
      <c r="BF290" s="969"/>
      <c r="BG290" s="953" t="s">
        <v>1703</v>
      </c>
      <c r="BH290" s="1246" t="s">
        <v>2150</v>
      </c>
    </row>
    <row r="291" spans="1:60" s="908" customFormat="1" ht="47.4" customHeight="1">
      <c r="A291" s="1243" t="s">
        <v>2718</v>
      </c>
      <c r="B291" s="1244" t="s">
        <v>2719</v>
      </c>
      <c r="C291" s="1244" t="s">
        <v>1056</v>
      </c>
      <c r="D291" s="1219">
        <v>1</v>
      </c>
      <c r="E291" s="1219">
        <v>1</v>
      </c>
      <c r="F291" s="1219">
        <v>1</v>
      </c>
      <c r="G291" s="1219">
        <v>1</v>
      </c>
      <c r="H291" s="1219">
        <v>0.36</v>
      </c>
      <c r="I291" s="951">
        <v>1</v>
      </c>
      <c r="J291" s="951">
        <v>1</v>
      </c>
      <c r="K291" s="951">
        <v>1</v>
      </c>
      <c r="L291" s="951"/>
      <c r="M291" s="951"/>
      <c r="N291" s="951"/>
      <c r="O291" s="951">
        <f t="shared" si="585"/>
        <v>0.36</v>
      </c>
      <c r="P291" s="973">
        <f t="shared" si="585"/>
        <v>1</v>
      </c>
      <c r="Q291" s="973">
        <f t="shared" si="585"/>
        <v>1</v>
      </c>
      <c r="R291" s="951">
        <f t="shared" si="586"/>
        <v>1</v>
      </c>
      <c r="S291" s="1198" t="s">
        <v>2720</v>
      </c>
      <c r="T291" s="974">
        <v>45107</v>
      </c>
      <c r="U291" s="985"/>
      <c r="V291" s="985"/>
      <c r="W291" s="952"/>
      <c r="X291" s="976"/>
      <c r="Y291" s="1266">
        <f t="shared" si="587"/>
        <v>4</v>
      </c>
      <c r="Z291" s="977">
        <f t="shared" si="588"/>
        <v>3.36</v>
      </c>
      <c r="AA291" s="1026">
        <f t="shared" si="589"/>
        <v>0.84</v>
      </c>
      <c r="AB291" s="1273">
        <v>0.4</v>
      </c>
      <c r="AC291" s="1273">
        <v>0.5</v>
      </c>
      <c r="AD291" s="1273">
        <v>0.4</v>
      </c>
      <c r="AE291" s="1273">
        <v>0.5</v>
      </c>
      <c r="AF291" s="1273">
        <v>0.5</v>
      </c>
      <c r="AG291" s="1245">
        <v>860000000</v>
      </c>
      <c r="AH291" s="1245">
        <v>0</v>
      </c>
      <c r="AI291" s="1245">
        <v>590111127.79999995</v>
      </c>
      <c r="AJ291" s="1245">
        <v>597169033.03999996</v>
      </c>
      <c r="AK291" s="1245">
        <v>845174482.52999997</v>
      </c>
      <c r="AL291" s="1025">
        <f t="shared" si="530"/>
        <v>0.98276102619767436</v>
      </c>
      <c r="AM291" s="1245">
        <v>0</v>
      </c>
      <c r="AN291" s="1245">
        <v>206171566</v>
      </c>
      <c r="AO291" s="1245">
        <v>552895501.95000005</v>
      </c>
      <c r="AP291" s="1245">
        <v>628643516.63</v>
      </c>
      <c r="AQ291" s="1026">
        <f t="shared" si="531"/>
        <v>0.73098083329069763</v>
      </c>
      <c r="AR291" s="958">
        <f t="shared" si="590"/>
        <v>44273531.089999914</v>
      </c>
      <c r="AS291" s="1245">
        <v>0</v>
      </c>
      <c r="AT291" s="1245">
        <v>0</v>
      </c>
      <c r="AU291" s="1245">
        <v>383939561.80000001</v>
      </c>
      <c r="AV291" s="1245">
        <v>380364100.80000001</v>
      </c>
      <c r="AW291" s="1245">
        <v>44273531.090000004</v>
      </c>
      <c r="AX291" s="1245">
        <v>42802450.859999999</v>
      </c>
      <c r="AY291" s="1027">
        <f t="shared" si="523"/>
        <v>1.0549645512812877</v>
      </c>
      <c r="AZ291" s="1071">
        <v>2710000000</v>
      </c>
      <c r="BA291" s="1000">
        <f t="shared" si="533"/>
        <v>2032454643.3699999</v>
      </c>
      <c r="BB291" s="973">
        <f t="shared" si="534"/>
        <v>0.74998326323616227</v>
      </c>
      <c r="BC291" s="1029">
        <f t="shared" si="535"/>
        <v>1810877136.2399998</v>
      </c>
      <c r="BD291" s="973">
        <f t="shared" si="536"/>
        <v>0.66822034547601472</v>
      </c>
      <c r="BE291" s="1030"/>
      <c r="BF291" s="969"/>
      <c r="BG291" s="953" t="s">
        <v>1703</v>
      </c>
      <c r="BH291" s="1246" t="s">
        <v>2150</v>
      </c>
    </row>
    <row r="292" spans="1:60" s="908" customFormat="1" ht="67.5" hidden="1" customHeight="1">
      <c r="A292" s="1243" t="s">
        <v>2721</v>
      </c>
      <c r="B292" s="1244" t="s">
        <v>2722</v>
      </c>
      <c r="C292" s="980" t="s">
        <v>2108</v>
      </c>
      <c r="D292" s="1274">
        <v>0</v>
      </c>
      <c r="E292" s="1274">
        <v>4</v>
      </c>
      <c r="F292" s="1274">
        <v>0</v>
      </c>
      <c r="G292" s="1274">
        <v>0</v>
      </c>
      <c r="H292" s="1274">
        <v>0</v>
      </c>
      <c r="I292" s="949">
        <v>4</v>
      </c>
      <c r="J292" s="949">
        <v>0</v>
      </c>
      <c r="K292" s="949"/>
      <c r="L292" s="949"/>
      <c r="M292" s="949"/>
      <c r="N292" s="949"/>
      <c r="O292" s="951">
        <f t="shared" si="585"/>
        <v>0</v>
      </c>
      <c r="P292" s="973">
        <f t="shared" si="585"/>
        <v>1</v>
      </c>
      <c r="Q292" s="951">
        <f t="shared" si="585"/>
        <v>0</v>
      </c>
      <c r="R292" s="951">
        <f t="shared" si="586"/>
        <v>0</v>
      </c>
      <c r="S292" s="1198"/>
      <c r="T292" s="1198"/>
      <c r="U292" s="984"/>
      <c r="V292" s="985"/>
      <c r="W292" s="952"/>
      <c r="X292" s="1198"/>
      <c r="Y292" s="1274">
        <f t="shared" si="587"/>
        <v>4</v>
      </c>
      <c r="Z292" s="956">
        <f t="shared" si="588"/>
        <v>4</v>
      </c>
      <c r="AA292" s="1026">
        <f t="shared" si="589"/>
        <v>1</v>
      </c>
      <c r="AB292" s="1273">
        <v>0.2</v>
      </c>
      <c r="AC292" s="1273">
        <v>0</v>
      </c>
      <c r="AD292" s="1273">
        <v>0.2</v>
      </c>
      <c r="AE292" s="1273">
        <v>0</v>
      </c>
      <c r="AF292" s="1273">
        <v>0</v>
      </c>
      <c r="AG292" s="1245">
        <v>0</v>
      </c>
      <c r="AH292" s="1245">
        <v>0</v>
      </c>
      <c r="AI292" s="1245"/>
      <c r="AJ292" s="1245"/>
      <c r="AK292" s="1245">
        <v>0</v>
      </c>
      <c r="AL292" s="1025" t="e">
        <f t="shared" si="530"/>
        <v>#DIV/0!</v>
      </c>
      <c r="AM292" s="1245">
        <v>0</v>
      </c>
      <c r="AN292" s="1163"/>
      <c r="AO292" s="1163"/>
      <c r="AP292" s="1163"/>
      <c r="AQ292" s="1026" t="e">
        <f t="shared" si="531"/>
        <v>#DIV/0!</v>
      </c>
      <c r="AR292" s="958">
        <f t="shared" si="590"/>
        <v>0</v>
      </c>
      <c r="AS292" s="1245">
        <v>0</v>
      </c>
      <c r="AT292" s="1245">
        <v>0</v>
      </c>
      <c r="AU292" s="1245"/>
      <c r="AV292" s="1245"/>
      <c r="AW292" s="1245"/>
      <c r="AX292" s="1245"/>
      <c r="AY292" s="1027" t="e">
        <f t="shared" si="523"/>
        <v>#DIV/0!</v>
      </c>
      <c r="AZ292" s="1071" t="s">
        <v>2120</v>
      </c>
      <c r="BA292" s="1000">
        <f t="shared" si="533"/>
        <v>0</v>
      </c>
      <c r="BB292" s="973" t="e">
        <f t="shared" si="534"/>
        <v>#DIV/0!</v>
      </c>
      <c r="BC292" s="1029">
        <f t="shared" si="535"/>
        <v>0</v>
      </c>
      <c r="BD292" s="973" t="e">
        <f t="shared" si="536"/>
        <v>#DIV/0!</v>
      </c>
      <c r="BE292" s="1030"/>
      <c r="BF292" s="969"/>
      <c r="BG292" s="953" t="s">
        <v>1703</v>
      </c>
      <c r="BH292" s="1246" t="s">
        <v>2150</v>
      </c>
    </row>
    <row r="293" spans="1:60" s="935" customFormat="1" ht="47.4" customHeight="1">
      <c r="A293" s="925" t="s">
        <v>2723</v>
      </c>
      <c r="B293" s="926"/>
      <c r="C293" s="926"/>
      <c r="D293" s="927"/>
      <c r="E293" s="927"/>
      <c r="F293" s="927"/>
      <c r="G293" s="927"/>
      <c r="H293" s="927"/>
      <c r="I293" s="927"/>
      <c r="J293" s="927"/>
      <c r="K293" s="927"/>
      <c r="L293" s="927"/>
      <c r="M293" s="927"/>
      <c r="N293" s="927"/>
      <c r="O293" s="928">
        <f>+O294*AC294</f>
        <v>0.87500000000000011</v>
      </c>
      <c r="P293" s="928">
        <f t="shared" ref="P293:R294" si="591">+P294*AD294</f>
        <v>1</v>
      </c>
      <c r="Q293" s="928">
        <f t="shared" si="591"/>
        <v>0.98181818181818181</v>
      </c>
      <c r="R293" s="928">
        <f t="shared" si="591"/>
        <v>0.93740000000000001</v>
      </c>
      <c r="S293" s="1176"/>
      <c r="T293" s="1176"/>
      <c r="U293" s="926"/>
      <c r="V293" s="926"/>
      <c r="W293" s="926"/>
      <c r="X293" s="1176"/>
      <c r="Y293" s="1177"/>
      <c r="Z293" s="929"/>
      <c r="AA293" s="928">
        <f>+AA294*AB294</f>
        <v>0.96147676767676771</v>
      </c>
      <c r="AB293" s="928">
        <v>0.01</v>
      </c>
      <c r="AC293" s="928">
        <v>0.01</v>
      </c>
      <c r="AD293" s="928">
        <v>0.01</v>
      </c>
      <c r="AE293" s="928">
        <v>0.01</v>
      </c>
      <c r="AF293" s="928">
        <v>0.01</v>
      </c>
      <c r="AG293" s="926">
        <f>+AG294</f>
        <v>5754179395</v>
      </c>
      <c r="AH293" s="926">
        <f>+AH294</f>
        <v>6107311808</v>
      </c>
      <c r="AI293" s="926">
        <f>+AI294</f>
        <v>6515110547</v>
      </c>
      <c r="AJ293" s="926">
        <f>+AJ294</f>
        <v>23747240643</v>
      </c>
      <c r="AK293" s="926">
        <f>+AK294</f>
        <v>5394106205.0500002</v>
      </c>
      <c r="AL293" s="931">
        <f t="shared" si="530"/>
        <v>0.93742405906515891</v>
      </c>
      <c r="AM293" s="926">
        <f>+AM294</f>
        <v>6005320167</v>
      </c>
      <c r="AN293" s="926">
        <f t="shared" ref="AN293:AP294" si="592">+AN294</f>
        <v>6500860547</v>
      </c>
      <c r="AO293" s="926">
        <f t="shared" si="592"/>
        <v>20520865554.009998</v>
      </c>
      <c r="AP293" s="926">
        <f>+AP294</f>
        <v>4565135538.0500002</v>
      </c>
      <c r="AQ293" s="933">
        <f t="shared" si="531"/>
        <v>0.79335996059087066</v>
      </c>
      <c r="AR293" s="926">
        <f>+AI293-AN293</f>
        <v>14250000</v>
      </c>
      <c r="AS293" s="926">
        <f>+AS294</f>
        <v>101991641</v>
      </c>
      <c r="AT293" s="926">
        <f>+AT294</f>
        <v>2218394</v>
      </c>
      <c r="AU293" s="926">
        <f t="shared" ref="AU293:AX294" si="593">+AU294</f>
        <v>14250000</v>
      </c>
      <c r="AV293" s="926">
        <f t="shared" si="593"/>
        <v>0</v>
      </c>
      <c r="AW293" s="926">
        <f t="shared" si="593"/>
        <v>3226375088.9899998</v>
      </c>
      <c r="AX293" s="926">
        <f t="shared" si="593"/>
        <v>3154608400</v>
      </c>
      <c r="AY293" s="934">
        <f t="shared" si="523"/>
        <v>1.3266421193885145E-2</v>
      </c>
      <c r="AZ293" s="926">
        <f t="shared" ref="AZ293:BA294" si="594">+AZ294</f>
        <v>43666210379</v>
      </c>
      <c r="BA293" s="926">
        <f t="shared" si="594"/>
        <v>41763769203.050003</v>
      </c>
      <c r="BB293" s="928">
        <f t="shared" si="534"/>
        <v>0.95643218957088794</v>
      </c>
      <c r="BC293" s="1010">
        <f t="shared" ref="BC293:BC294" si="595">+BC294</f>
        <v>40749008600.059998</v>
      </c>
      <c r="BD293" s="928">
        <f t="shared" si="536"/>
        <v>0.93319315430351735</v>
      </c>
      <c r="BE293" s="926"/>
      <c r="BF293" s="926"/>
      <c r="BG293" s="926"/>
      <c r="BH293" s="926"/>
    </row>
    <row r="294" spans="1:60" s="908" customFormat="1" ht="47.4" customHeight="1">
      <c r="A294" s="936" t="s">
        <v>2724</v>
      </c>
      <c r="B294" s="937"/>
      <c r="C294" s="937"/>
      <c r="D294" s="938"/>
      <c r="E294" s="938"/>
      <c r="F294" s="938"/>
      <c r="G294" s="938"/>
      <c r="H294" s="938"/>
      <c r="I294" s="938"/>
      <c r="J294" s="938"/>
      <c r="K294" s="938"/>
      <c r="L294" s="938"/>
      <c r="M294" s="938"/>
      <c r="N294" s="938"/>
      <c r="O294" s="939">
        <f>+O295*AC295</f>
        <v>0.87500000000000011</v>
      </c>
      <c r="P294" s="939">
        <f t="shared" si="591"/>
        <v>1</v>
      </c>
      <c r="Q294" s="939">
        <f t="shared" si="591"/>
        <v>0.98181818181818181</v>
      </c>
      <c r="R294" s="939">
        <f t="shared" si="591"/>
        <v>0.93740000000000001</v>
      </c>
      <c r="S294" s="1178"/>
      <c r="T294" s="1178"/>
      <c r="U294" s="937"/>
      <c r="V294" s="937"/>
      <c r="W294" s="937"/>
      <c r="X294" s="1178"/>
      <c r="Y294" s="1102"/>
      <c r="Z294" s="940"/>
      <c r="AA294" s="939">
        <f>+AA295*AB295</f>
        <v>0.96147676767676771</v>
      </c>
      <c r="AB294" s="939">
        <v>1</v>
      </c>
      <c r="AC294" s="939">
        <v>1</v>
      </c>
      <c r="AD294" s="939">
        <v>1</v>
      </c>
      <c r="AE294" s="939">
        <v>1</v>
      </c>
      <c r="AF294" s="939">
        <v>1</v>
      </c>
      <c r="AG294" s="937">
        <f t="shared" ref="AG294:AM294" si="596">+AG295</f>
        <v>5754179395</v>
      </c>
      <c r="AH294" s="937">
        <f t="shared" si="596"/>
        <v>6107311808</v>
      </c>
      <c r="AI294" s="937">
        <f t="shared" si="596"/>
        <v>6515110547</v>
      </c>
      <c r="AJ294" s="937">
        <f t="shared" si="596"/>
        <v>23747240643</v>
      </c>
      <c r="AK294" s="937">
        <f t="shared" si="596"/>
        <v>5394106205.0500002</v>
      </c>
      <c r="AL294" s="943">
        <f t="shared" si="530"/>
        <v>0.93742405906515891</v>
      </c>
      <c r="AM294" s="937">
        <f t="shared" si="596"/>
        <v>6005320167</v>
      </c>
      <c r="AN294" s="937">
        <f t="shared" si="592"/>
        <v>6500860547</v>
      </c>
      <c r="AO294" s="937">
        <f t="shared" si="592"/>
        <v>20520865554.009998</v>
      </c>
      <c r="AP294" s="937">
        <f t="shared" si="592"/>
        <v>4565135538.0500002</v>
      </c>
      <c r="AQ294" s="944">
        <f t="shared" si="531"/>
        <v>0.79335996059087066</v>
      </c>
      <c r="AR294" s="945">
        <f>+AI294-AN294</f>
        <v>14250000</v>
      </c>
      <c r="AS294" s="945">
        <f>+AS295</f>
        <v>101991641</v>
      </c>
      <c r="AT294" s="945">
        <f>+AT295</f>
        <v>2218394</v>
      </c>
      <c r="AU294" s="945">
        <f t="shared" si="593"/>
        <v>14250000</v>
      </c>
      <c r="AV294" s="945">
        <f t="shared" si="593"/>
        <v>0</v>
      </c>
      <c r="AW294" s="945">
        <f t="shared" si="593"/>
        <v>3226375088.9899998</v>
      </c>
      <c r="AX294" s="945">
        <f t="shared" si="593"/>
        <v>3154608400</v>
      </c>
      <c r="AY294" s="946">
        <f t="shared" si="523"/>
        <v>0</v>
      </c>
      <c r="AZ294" s="937">
        <f t="shared" si="594"/>
        <v>43666210379</v>
      </c>
      <c r="BA294" s="937">
        <f t="shared" si="594"/>
        <v>41763769203.050003</v>
      </c>
      <c r="BB294" s="939">
        <f t="shared" si="534"/>
        <v>0.95643218957088794</v>
      </c>
      <c r="BC294" s="1005">
        <f t="shared" si="595"/>
        <v>40749008600.059998</v>
      </c>
      <c r="BD294" s="939">
        <f t="shared" si="536"/>
        <v>0.93319315430351735</v>
      </c>
      <c r="BE294" s="945"/>
      <c r="BF294" s="945"/>
      <c r="BG294" s="945"/>
      <c r="BH294" s="945"/>
    </row>
    <row r="295" spans="1:60" s="1198" customFormat="1" ht="47.4" customHeight="1">
      <c r="A295" s="1275" t="s">
        <v>2725</v>
      </c>
      <c r="B295" s="952" t="s">
        <v>2726</v>
      </c>
      <c r="C295" s="948" t="s">
        <v>1056</v>
      </c>
      <c r="D295" s="951">
        <v>0.16</v>
      </c>
      <c r="E295" s="951">
        <v>0.15</v>
      </c>
      <c r="F295" s="951">
        <v>0.55000000000000004</v>
      </c>
      <c r="G295" s="951">
        <v>0.13</v>
      </c>
      <c r="H295" s="951">
        <v>0.14000000000000001</v>
      </c>
      <c r="I295" s="951">
        <v>0.15</v>
      </c>
      <c r="J295" s="951">
        <v>0.54</v>
      </c>
      <c r="K295" s="951">
        <v>0.12186200000000001</v>
      </c>
      <c r="L295" s="949"/>
      <c r="M295" s="949"/>
      <c r="N295" s="949"/>
      <c r="O295" s="973">
        <f>+IFERROR(IF((H295+L295)/D295&gt;=100%,100%,(H295+L295)/D295),0)</f>
        <v>0.87500000000000011</v>
      </c>
      <c r="P295" s="973">
        <f>+IFERROR(IF((I295+M295)/E295&gt;=100%,100%,(I295+M295)/E295),0)</f>
        <v>1</v>
      </c>
      <c r="Q295" s="973">
        <f>+IFERROR(IF((J295+N295)/F295&gt;=100%,100%,(J295+N295)/F295),0)</f>
        <v>0.98181818181818181</v>
      </c>
      <c r="R295" s="951">
        <f>+IFERROR(IF(K295/G295&gt;=100%,100%,K295/G295),0)</f>
        <v>0.93740000000000001</v>
      </c>
      <c r="U295" s="952"/>
      <c r="V295" s="952"/>
      <c r="W295" s="952"/>
      <c r="Y295" s="1036">
        <f t="shared" ref="Y295" si="597">SUM(D295:G295)</f>
        <v>0.9900000000000001</v>
      </c>
      <c r="Z295" s="977">
        <f t="shared" ref="Z295" si="598">SUM(H295:N295)</f>
        <v>0.9518620000000001</v>
      </c>
      <c r="AA295" s="973">
        <f>IF(Z295/Y295&gt;=100%,100%,Z295/Y295)</f>
        <v>0.96147676767676771</v>
      </c>
      <c r="AB295" s="973">
        <v>1</v>
      </c>
      <c r="AC295" s="973">
        <v>1</v>
      </c>
      <c r="AD295" s="973">
        <v>1</v>
      </c>
      <c r="AE295" s="973">
        <v>1</v>
      </c>
      <c r="AF295" s="973">
        <v>1</v>
      </c>
      <c r="AG295" s="952">
        <v>5754179395</v>
      </c>
      <c r="AH295" s="952">
        <v>6107311808</v>
      </c>
      <c r="AI295" s="952">
        <v>6515110547</v>
      </c>
      <c r="AJ295" s="952">
        <v>23747240643</v>
      </c>
      <c r="AK295" s="952">
        <v>5394106205.0500002</v>
      </c>
      <c r="AL295" s="1025">
        <f t="shared" si="530"/>
        <v>0.93742405906515891</v>
      </c>
      <c r="AM295" s="952">
        <v>6005320167</v>
      </c>
      <c r="AN295" s="952">
        <v>6500860547</v>
      </c>
      <c r="AO295" s="952">
        <v>20520865554.009998</v>
      </c>
      <c r="AP295" s="952">
        <v>4565135538.0500002</v>
      </c>
      <c r="AQ295" s="1026">
        <f t="shared" si="531"/>
        <v>0.79335996059087066</v>
      </c>
      <c r="AR295" s="958">
        <f>+AJ295-AO295</f>
        <v>3226375088.9900017</v>
      </c>
      <c r="AS295" s="952">
        <v>101991641</v>
      </c>
      <c r="AT295" s="952">
        <v>2218394</v>
      </c>
      <c r="AU295" s="952">
        <v>14250000</v>
      </c>
      <c r="AV295" s="952">
        <v>0</v>
      </c>
      <c r="AW295" s="952">
        <v>3226375088.9899998</v>
      </c>
      <c r="AX295" s="952">
        <v>3154608400</v>
      </c>
      <c r="AY295" s="1027">
        <f t="shared" si="523"/>
        <v>0.97775624748811651</v>
      </c>
      <c r="AZ295" s="952">
        <v>43666210379</v>
      </c>
      <c r="BA295" s="1000">
        <f t="shared" si="533"/>
        <v>41763769203.050003</v>
      </c>
      <c r="BB295" s="973">
        <f t="shared" si="534"/>
        <v>0.95643218957088794</v>
      </c>
      <c r="BC295" s="1029">
        <f t="shared" si="535"/>
        <v>40749008600.059998</v>
      </c>
      <c r="BD295" s="973">
        <f t="shared" si="536"/>
        <v>0.93319315430351735</v>
      </c>
      <c r="BE295" s="952"/>
      <c r="BF295" s="952"/>
      <c r="BG295" s="952"/>
      <c r="BH295" s="952"/>
    </row>
    <row r="296" spans="1:60" s="908" customFormat="1" ht="47.4" customHeight="1">
      <c r="A296" s="1372" t="s">
        <v>2727</v>
      </c>
      <c r="B296" s="1372"/>
      <c r="C296" s="1372"/>
      <c r="D296" s="1276"/>
      <c r="E296" s="1276"/>
      <c r="F296" s="1276"/>
      <c r="G296" s="1276"/>
      <c r="H296" s="1276"/>
      <c r="I296" s="1276"/>
      <c r="J296" s="1276"/>
      <c r="K296" s="1276"/>
      <c r="L296" s="1276"/>
      <c r="M296" s="1276"/>
      <c r="N296" s="1276"/>
      <c r="O296" s="1277">
        <f>(O7*AC7)+(O55*AC55)+(O99*AC99)+(O146*AC146)+(O211*AC211)</f>
        <v>0.94428460000000003</v>
      </c>
      <c r="P296" s="1277">
        <f>(P7*AD7)+(P55*AD55)+(P99*AD99)+(P146*AD146)+(P211*AD211)</f>
        <v>0.90571146337826081</v>
      </c>
      <c r="Q296" s="1277">
        <f>(Q7*AE7)+(Q55*AE55)+(Q99*AE99)+(Q146*AE146)+(Q211*AE211)</f>
        <v>0.95249882727272728</v>
      </c>
      <c r="R296" s="1277">
        <f>(R7*AF7)+(R55*AF55)+(R99*AF99)+(R146*AF146)+(R211*AF211)</f>
        <v>0.97991348666666678</v>
      </c>
      <c r="S296" s="1276"/>
      <c r="T296" s="1276"/>
      <c r="U296" s="1276"/>
      <c r="V296" s="1276"/>
      <c r="W296" s="1276"/>
      <c r="X296" s="1276"/>
      <c r="Y296" s="1276"/>
      <c r="Z296" s="1276"/>
      <c r="AA296" s="1277">
        <f>(AA7*AB7)+(AA55*AB55)+(AA99*AB99)+(AA146*AB146)+(AA211*AB211)</f>
        <v>0.96242574844992967</v>
      </c>
      <c r="AB296" s="1278"/>
      <c r="AC296" s="1278"/>
      <c r="AD296" s="1278"/>
      <c r="AE296" s="1278"/>
      <c r="AF296" s="1278"/>
      <c r="AG296" s="1279">
        <f>+AG7+AG55+AG99+AG146+AG211</f>
        <v>115766313296</v>
      </c>
      <c r="AH296" s="1279">
        <f>+AH7+AH55+AH99+AH146+AH211+AH293</f>
        <v>63560805671.059998</v>
      </c>
      <c r="AI296" s="1279">
        <f>+AI7+AI55+AI99+AI146+AI211+AI293</f>
        <v>95329855301.670013</v>
      </c>
      <c r="AJ296" s="1279">
        <f>+AJ7+AJ55+AJ99+AJ146+AJ211+AJ293</f>
        <v>154291387964.76001</v>
      </c>
      <c r="AK296" s="1279">
        <f>+AK7+AK55+AK99+AK146+AK211</f>
        <v>115203288066.95</v>
      </c>
      <c r="AL296" s="931">
        <f>+AK296/AG296</f>
        <v>0.99513653658806234</v>
      </c>
      <c r="AM296" s="1279">
        <f>+AM7+AM55+AM99+AM146+AM211+AM293</f>
        <v>43891586590</v>
      </c>
      <c r="AN296" s="1279">
        <f>+AN7+AN55+AN99+AN146+AN211+AN293</f>
        <v>78914531319.630005</v>
      </c>
      <c r="AO296" s="1279">
        <f>+AO7+AO55+AO99+AO146+AO211+AO293</f>
        <v>122471350821.31</v>
      </c>
      <c r="AP296" s="1279">
        <f>+AP7+AP55+AP99+AP146+AP211</f>
        <v>88270484775.840012</v>
      </c>
      <c r="AQ296" s="933">
        <f>+AP296/AG296</f>
        <v>0.76248851900589953</v>
      </c>
      <c r="AR296" s="1279">
        <f>+AR7+AR55+AR99+AR146+AR211+AR293</f>
        <v>28607912054.459995</v>
      </c>
      <c r="AS296" s="1280">
        <f t="shared" ref="AS296:AX296" si="599">+AS7+AS55+AS99+AS146+AS211</f>
        <v>19969575271.959999</v>
      </c>
      <c r="AT296" s="1279">
        <f t="shared" si="599"/>
        <v>17292544809.439999</v>
      </c>
      <c r="AU296" s="1279">
        <f t="shared" si="599"/>
        <v>16415323982.040003</v>
      </c>
      <c r="AV296" s="1279">
        <f t="shared" si="599"/>
        <v>6432597740.8399992</v>
      </c>
      <c r="AW296" s="1279">
        <f t="shared" si="599"/>
        <v>31820037143.450001</v>
      </c>
      <c r="AX296" s="1279">
        <f t="shared" si="599"/>
        <v>30897943795.459999</v>
      </c>
      <c r="AY296" s="934">
        <f t="shared" si="523"/>
        <v>9.9139054608217536E-2</v>
      </c>
      <c r="AZ296" s="1281">
        <f>+AZ7+AZ55+AZ99+AZ146+AZ211+AZ293</f>
        <v>493451367100</v>
      </c>
      <c r="BA296" s="1282">
        <f>SUM(AH296:AK296)</f>
        <v>428385337004.44</v>
      </c>
      <c r="BB296" s="1283">
        <f>+BA296/AZ296</f>
        <v>0.86814094674020004</v>
      </c>
      <c r="BC296" s="1284">
        <f t="shared" si="535"/>
        <v>388171039852.52008</v>
      </c>
      <c r="BD296" s="1285">
        <f>+BC296/AZ296</f>
        <v>0.78664497807309874</v>
      </c>
      <c r="BE296" s="926"/>
      <c r="BF296" s="1286"/>
      <c r="BG296" s="1286"/>
      <c r="BH296" s="1286"/>
    </row>
    <row r="297" spans="1:60" s="908" customFormat="1" ht="51.75" hidden="1" customHeight="1">
      <c r="A297" s="1373" t="s">
        <v>2728</v>
      </c>
      <c r="B297" s="1373"/>
      <c r="C297" s="1373"/>
      <c r="D297" s="1373"/>
      <c r="E297" s="1373"/>
      <c r="F297" s="1373"/>
      <c r="G297" s="1373"/>
      <c r="H297" s="1373"/>
      <c r="I297" s="1373"/>
      <c r="J297" s="1373"/>
      <c r="K297" s="1373"/>
      <c r="L297" s="1373"/>
      <c r="M297" s="1373"/>
      <c r="N297" s="1373"/>
      <c r="O297" s="1373"/>
      <c r="P297" s="1373"/>
      <c r="Q297" s="1373"/>
      <c r="R297" s="1373"/>
      <c r="S297" s="1373"/>
      <c r="T297" s="1373"/>
      <c r="U297" s="1373"/>
      <c r="V297" s="1373"/>
      <c r="W297" s="1373"/>
      <c r="X297" s="1373"/>
      <c r="Y297" s="1373"/>
      <c r="Z297" s="1373"/>
      <c r="AA297" s="1373"/>
      <c r="AB297" s="1373"/>
      <c r="AC297" s="1373"/>
      <c r="AD297" s="1373"/>
      <c r="AE297" s="1373"/>
      <c r="AF297" s="1373"/>
      <c r="AG297" s="1373"/>
      <c r="AH297" s="1373"/>
      <c r="AI297" s="1373"/>
      <c r="AJ297" s="1373"/>
      <c r="AK297" s="1373"/>
      <c r="AL297" s="1373"/>
      <c r="AM297" s="1373"/>
      <c r="AN297" s="1373"/>
      <c r="AO297" s="1373"/>
      <c r="AP297" s="1373"/>
      <c r="AQ297" s="1373"/>
      <c r="AR297" s="1373"/>
      <c r="AS297" s="1373"/>
      <c r="AT297" s="1373"/>
      <c r="AU297" s="1373"/>
      <c r="AV297" s="1373"/>
      <c r="AW297" s="1373"/>
      <c r="AX297" s="1373"/>
      <c r="AY297" s="1373"/>
      <c r="AZ297" s="1373"/>
      <c r="BA297" s="1373"/>
      <c r="BB297" s="1373"/>
      <c r="BC297" s="1373"/>
      <c r="BD297" s="1373"/>
      <c r="BE297" s="1373"/>
    </row>
    <row r="298" spans="1:60" ht="47.4" customHeight="1">
      <c r="AG298" s="1288"/>
      <c r="AH298" s="1289"/>
      <c r="AI298" s="1289"/>
      <c r="AJ298" s="1289"/>
      <c r="AK298" s="1289"/>
      <c r="AM298" s="1291"/>
      <c r="AN298" s="1291"/>
      <c r="AO298" s="1291"/>
      <c r="AP298" s="1291"/>
      <c r="AR298" s="1288"/>
      <c r="AS298" s="1291"/>
      <c r="AT298" s="1291"/>
      <c r="AU298" s="1291"/>
      <c r="AV298" s="1289"/>
      <c r="AW298" s="1289"/>
      <c r="AX298" s="1289"/>
      <c r="BE298" s="1292"/>
    </row>
    <row r="299" spans="1:60" ht="47.4" customHeight="1">
      <c r="A299" s="1293"/>
      <c r="B299" s="1293"/>
      <c r="C299" s="1293"/>
      <c r="D299" s="1293"/>
      <c r="E299" s="1293"/>
      <c r="F299" s="1293"/>
      <c r="G299" s="1293"/>
      <c r="H299" s="1293"/>
      <c r="I299" s="1293"/>
      <c r="J299" s="1293"/>
      <c r="K299" s="1293"/>
      <c r="L299" s="1293"/>
      <c r="M299" s="1293"/>
      <c r="N299" s="1293"/>
      <c r="O299" s="1294"/>
      <c r="P299" s="1294"/>
      <c r="Q299" s="1294"/>
      <c r="R299" s="1293"/>
      <c r="S299" s="1293"/>
      <c r="T299" s="1295"/>
      <c r="U299" s="1295"/>
      <c r="V299" s="1295"/>
      <c r="W299" s="1295"/>
      <c r="X299" s="1295"/>
      <c r="Y299" s="1293"/>
      <c r="Z299" s="1293"/>
      <c r="AA299" s="1293"/>
      <c r="AB299" s="1293"/>
      <c r="AC299" s="1293"/>
      <c r="AD299" s="1293"/>
      <c r="AE299" s="1293"/>
      <c r="AF299" s="1293"/>
      <c r="AG299" s="1296">
        <f>+'[7]Anexo 5.1 INGRESOS VF'!R7</f>
        <v>115766313295.99652</v>
      </c>
      <c r="AH299" s="1297">
        <v>63560805671.059998</v>
      </c>
      <c r="AI299" s="1297">
        <v>95329855301.670013</v>
      </c>
      <c r="AJ299" s="1297">
        <v>154291387964.76001</v>
      </c>
      <c r="AK299" s="1298">
        <f>+'[7]Anexo 5.2. informe Gastos'!Z47</f>
        <v>115162713829.69</v>
      </c>
      <c r="AL299" s="1293"/>
      <c r="AM299" s="1299">
        <v>43891586590</v>
      </c>
      <c r="AN299" s="1297">
        <v>78914531319.630005</v>
      </c>
      <c r="AO299" s="1297">
        <v>122471350821.31</v>
      </c>
      <c r="AP299" s="1298">
        <f>+'[7]Anexo 5.2. informe Gastos'!AA47</f>
        <v>83064830971.980011</v>
      </c>
      <c r="AQ299" s="1295"/>
      <c r="AR299" s="1300"/>
      <c r="AS299" s="1301">
        <v>19969575271.959999</v>
      </c>
      <c r="AT299" s="1301">
        <v>17292544809.439999</v>
      </c>
      <c r="AU299" s="1300">
        <v>16415323982.040003</v>
      </c>
      <c r="AV299" s="1300">
        <v>6432597740.8399992</v>
      </c>
      <c r="AW299" s="1300">
        <v>28607912054.459995</v>
      </c>
      <c r="AX299" s="1300"/>
      <c r="AY299" s="1293" t="s">
        <v>2729</v>
      </c>
      <c r="AZ299" s="1302">
        <f>SUM(AZ300:AZ303)</f>
        <v>493529367100.53656</v>
      </c>
      <c r="BA299" s="1303"/>
      <c r="BD299" s="904" t="s">
        <v>2730</v>
      </c>
    </row>
    <row r="300" spans="1:60" ht="47.4" customHeight="1">
      <c r="A300" s="1374"/>
      <c r="B300" s="1374"/>
      <c r="C300" s="1374"/>
      <c r="D300" s="1295"/>
      <c r="E300" s="1295"/>
      <c r="F300" s="1295"/>
      <c r="G300" s="1295"/>
      <c r="H300" s="1295"/>
      <c r="I300" s="1295"/>
      <c r="J300" s="1295"/>
      <c r="K300" s="1295"/>
      <c r="L300" s="1295"/>
      <c r="M300" s="1295"/>
      <c r="N300" s="1295"/>
      <c r="R300" s="1295"/>
      <c r="S300" s="1295"/>
      <c r="T300" s="1295"/>
      <c r="U300" s="1295"/>
      <c r="V300" s="1295"/>
      <c r="W300" s="1295"/>
      <c r="X300" s="1295"/>
      <c r="Y300" s="1295"/>
      <c r="Z300" s="1295"/>
      <c r="AA300" s="1295"/>
      <c r="AB300" s="1295"/>
      <c r="AC300" s="1295"/>
      <c r="AD300" s="1295"/>
      <c r="AE300" s="1295"/>
      <c r="AF300" s="1295"/>
      <c r="AG300" s="1293"/>
      <c r="AH300" s="1293"/>
      <c r="AI300" s="1293"/>
      <c r="AJ300" s="1293"/>
      <c r="AK300" s="1293"/>
      <c r="AL300" s="1293"/>
      <c r="AM300" s="1293"/>
      <c r="AN300" s="1293"/>
      <c r="AO300" s="1293"/>
      <c r="AP300" s="1293"/>
      <c r="AQ300" s="1293"/>
      <c r="AR300" s="1293"/>
      <c r="AS300" s="1293"/>
      <c r="AT300" s="1293"/>
      <c r="AU300" s="1293"/>
      <c r="AV300" s="1293"/>
      <c r="AW300" s="1293"/>
      <c r="AX300" s="1293"/>
      <c r="AY300" s="904">
        <v>2020</v>
      </c>
      <c r="AZ300" s="1304">
        <v>95122659334.520004</v>
      </c>
      <c r="BB300" s="1304"/>
      <c r="BC300" s="1295"/>
      <c r="BD300" s="1295"/>
    </row>
    <row r="301" spans="1:60" ht="47.4" customHeight="1">
      <c r="A301" s="1366"/>
      <c r="B301" s="1366"/>
      <c r="C301" s="1366"/>
      <c r="D301" s="1295"/>
      <c r="E301" s="1295"/>
      <c r="F301" s="1295"/>
      <c r="G301" s="1295"/>
      <c r="H301" s="1295"/>
      <c r="I301" s="1295"/>
      <c r="J301" s="1295"/>
      <c r="K301" s="1295"/>
      <c r="L301" s="1295"/>
      <c r="M301" s="1295"/>
      <c r="N301" s="1295"/>
      <c r="O301" s="1295"/>
      <c r="P301" s="1295"/>
      <c r="Q301" s="1295"/>
      <c r="R301" s="1295"/>
      <c r="S301" s="1305"/>
      <c r="T301" s="1305"/>
      <c r="U301" s="1305"/>
      <c r="V301" s="1305"/>
      <c r="W301" s="1305"/>
      <c r="X301" s="1305"/>
      <c r="Y301" s="1295"/>
      <c r="Z301" s="1295"/>
      <c r="AA301" s="1295"/>
      <c r="AB301" s="1305"/>
      <c r="AC301" s="1305"/>
      <c r="AD301" s="1305"/>
      <c r="AE301" s="1305"/>
      <c r="AF301" s="1305"/>
      <c r="AL301" s="904"/>
      <c r="AM301" s="904"/>
      <c r="AQ301" s="904"/>
      <c r="AY301" s="904">
        <v>2021</v>
      </c>
      <c r="AZ301" s="1306">
        <v>127200888332</v>
      </c>
      <c r="BB301" s="1306"/>
      <c r="BC301" s="1307"/>
      <c r="BD301" s="1307"/>
    </row>
    <row r="302" spans="1:60" ht="47.4" customHeight="1">
      <c r="A302" s="1366"/>
      <c r="B302" s="1366"/>
      <c r="C302" s="1366"/>
      <c r="D302" s="1295"/>
      <c r="E302" s="1295"/>
      <c r="F302" s="1295"/>
      <c r="G302" s="1295"/>
      <c r="H302" s="1295"/>
      <c r="I302" s="1295"/>
      <c r="J302" s="1295"/>
      <c r="K302" s="1295"/>
      <c r="L302" s="1295"/>
      <c r="M302" s="1295"/>
      <c r="N302" s="1295"/>
      <c r="O302" s="1295"/>
      <c r="P302" s="1295"/>
      <c r="Q302" s="1295"/>
      <c r="R302" s="1295"/>
      <c r="S302" s="1305"/>
      <c r="T302" s="1305"/>
      <c r="U302" s="1305"/>
      <c r="V302" s="1305"/>
      <c r="W302" s="1305"/>
      <c r="X302" s="1305"/>
      <c r="Y302" s="1295"/>
      <c r="Z302" s="1295"/>
      <c r="AA302" s="1295"/>
      <c r="AB302" s="1305"/>
      <c r="AC302" s="1305"/>
      <c r="AD302" s="1305"/>
      <c r="AE302" s="1305"/>
      <c r="AF302" s="1305"/>
      <c r="AL302" s="904"/>
      <c r="AM302" s="904"/>
      <c r="AQ302" s="904"/>
      <c r="AY302" s="904">
        <v>2022</v>
      </c>
      <c r="AZ302" s="1306">
        <v>155439506138.02002</v>
      </c>
      <c r="BB302" s="1306"/>
      <c r="BC302" s="1307"/>
      <c r="BD302" s="1307"/>
    </row>
    <row r="303" spans="1:60" ht="47.4" customHeight="1">
      <c r="A303" s="1366"/>
      <c r="B303" s="1366"/>
      <c r="C303" s="1366"/>
      <c r="D303" s="1295"/>
      <c r="E303" s="1295"/>
      <c r="F303" s="1295"/>
      <c r="G303" s="1295"/>
      <c r="H303" s="1295"/>
      <c r="I303" s="1295"/>
      <c r="J303" s="1295"/>
      <c r="K303" s="1295"/>
      <c r="L303" s="1295"/>
      <c r="M303" s="1295"/>
      <c r="N303" s="1295"/>
      <c r="O303" s="1295"/>
      <c r="P303" s="1295"/>
      <c r="Q303" s="1295"/>
      <c r="R303" s="1295"/>
      <c r="S303" s="1305"/>
      <c r="T303" s="1305"/>
      <c r="U303" s="1305"/>
      <c r="V303" s="1305"/>
      <c r="W303" s="1305"/>
      <c r="X303" s="1305"/>
      <c r="Y303" s="1295"/>
      <c r="Z303" s="1295"/>
      <c r="AA303" s="1295"/>
      <c r="AB303" s="1305"/>
      <c r="AC303" s="1305"/>
      <c r="AD303" s="1305"/>
      <c r="AE303" s="1305"/>
      <c r="AF303" s="1305"/>
      <c r="AL303" s="904"/>
      <c r="AM303" s="904"/>
      <c r="AQ303" s="904"/>
      <c r="AY303" s="904">
        <v>2023</v>
      </c>
      <c r="AZ303" s="1288">
        <f>+'[7]Anexo 5.1 INGRESOS VF'!R7</f>
        <v>115766313295.99652</v>
      </c>
      <c r="BB303" s="1288"/>
      <c r="BC303" s="1307"/>
      <c r="BD303" s="1307"/>
    </row>
    <row r="304" spans="1:60" ht="47.4" customHeight="1">
      <c r="A304" s="1366"/>
      <c r="B304" s="1366"/>
      <c r="C304" s="1366"/>
      <c r="D304" s="1295"/>
      <c r="E304" s="1295"/>
      <c r="F304" s="1295"/>
      <c r="G304" s="1295"/>
      <c r="H304" s="1295"/>
      <c r="I304" s="1295"/>
      <c r="J304" s="1295"/>
      <c r="K304" s="1295"/>
      <c r="L304" s="1295"/>
      <c r="M304" s="1295"/>
      <c r="N304" s="1295"/>
      <c r="O304" s="1295"/>
      <c r="P304" s="1295"/>
      <c r="Q304" s="1295"/>
      <c r="R304" s="1295"/>
      <c r="S304" s="1305"/>
      <c r="T304" s="1305"/>
      <c r="U304" s="1305"/>
      <c r="V304" s="1305"/>
      <c r="W304" s="1305"/>
      <c r="X304" s="1305"/>
      <c r="Y304" s="1295"/>
      <c r="Z304" s="1295"/>
      <c r="AA304" s="1295"/>
      <c r="AB304" s="1305"/>
      <c r="AC304" s="1305"/>
      <c r="AD304" s="1305"/>
      <c r="AE304" s="1305"/>
      <c r="AF304" s="1305"/>
      <c r="AG304" s="1367"/>
      <c r="AH304" s="1367"/>
      <c r="AI304" s="1367"/>
      <c r="AJ304" s="1367"/>
      <c r="AK304" s="1367"/>
      <c r="AL304" s="1367"/>
      <c r="AM304" s="1367"/>
      <c r="AN304" s="1367"/>
      <c r="AO304" s="1367"/>
      <c r="AP304" s="1367"/>
      <c r="AQ304" s="1367"/>
      <c r="AR304" s="1367"/>
      <c r="AS304" s="1367"/>
      <c r="AT304" s="1367"/>
      <c r="AU304" s="1367"/>
      <c r="AV304" s="1367"/>
      <c r="AW304" s="1367"/>
      <c r="AX304" s="1367"/>
      <c r="AY304" s="1367"/>
      <c r="AZ304" s="1367"/>
      <c r="BA304" s="1367"/>
      <c r="BB304" s="1367"/>
      <c r="BC304" s="1307"/>
      <c r="BD304" s="1307"/>
    </row>
    <row r="305" spans="1:56" ht="47.4" customHeight="1">
      <c r="A305" s="1366"/>
      <c r="B305" s="1366"/>
      <c r="C305" s="1366"/>
      <c r="D305" s="1295"/>
      <c r="E305" s="1295"/>
      <c r="F305" s="1295"/>
      <c r="G305" s="1295"/>
      <c r="H305" s="1295"/>
      <c r="I305" s="1295"/>
      <c r="J305" s="1295"/>
      <c r="K305" s="1295"/>
      <c r="L305" s="1295"/>
      <c r="M305" s="1295"/>
      <c r="N305" s="1295"/>
      <c r="O305" s="1295"/>
      <c r="P305" s="1295"/>
      <c r="Q305" s="1295"/>
      <c r="R305" s="1295"/>
      <c r="S305" s="1305"/>
      <c r="T305" s="1305"/>
      <c r="U305" s="1305"/>
      <c r="V305" s="1305"/>
      <c r="W305" s="1305"/>
      <c r="X305" s="1305"/>
      <c r="Y305" s="1295"/>
      <c r="Z305" s="1295"/>
      <c r="AA305" s="1295"/>
      <c r="AB305" s="1305"/>
      <c r="AC305" s="1305"/>
      <c r="AD305" s="1305"/>
      <c r="AE305" s="1305"/>
      <c r="AF305" s="1305"/>
      <c r="AG305" s="1367"/>
      <c r="AH305" s="1367"/>
      <c r="AI305" s="1367"/>
      <c r="AJ305" s="1367"/>
      <c r="AK305" s="1367"/>
      <c r="AL305" s="1367"/>
      <c r="AM305" s="1367"/>
      <c r="AN305" s="1367"/>
      <c r="AO305" s="1367"/>
      <c r="AP305" s="1367"/>
      <c r="AQ305" s="1367"/>
      <c r="AR305" s="1367"/>
      <c r="AS305" s="1367"/>
      <c r="AT305" s="1367"/>
      <c r="AU305" s="1367"/>
      <c r="AV305" s="1367"/>
      <c r="AW305" s="1367"/>
      <c r="AX305" s="1367"/>
      <c r="AY305" s="1367"/>
      <c r="AZ305" s="1367"/>
      <c r="BA305" s="1367"/>
      <c r="BB305" s="1367"/>
      <c r="BC305" s="1307"/>
      <c r="BD305" s="1307"/>
    </row>
    <row r="306" spans="1:56" ht="47.4" customHeight="1">
      <c r="A306" s="1366"/>
      <c r="B306" s="1366"/>
      <c r="C306" s="1366"/>
      <c r="D306" s="1295"/>
      <c r="E306" s="1295"/>
      <c r="F306" s="1295"/>
      <c r="G306" s="1295"/>
      <c r="H306" s="1295"/>
      <c r="I306" s="1295"/>
      <c r="J306" s="1295"/>
      <c r="K306" s="1295"/>
      <c r="L306" s="1295"/>
      <c r="M306" s="1295"/>
      <c r="N306" s="1295"/>
      <c r="O306" s="1295"/>
      <c r="P306" s="1295"/>
      <c r="Q306" s="1295"/>
      <c r="R306" s="1295"/>
      <c r="S306" s="1305"/>
      <c r="T306" s="1305"/>
      <c r="U306" s="1305"/>
      <c r="V306" s="1305"/>
      <c r="W306" s="1305"/>
      <c r="X306" s="1305"/>
      <c r="Y306" s="1295"/>
      <c r="Z306" s="1295"/>
      <c r="AA306" s="1295"/>
      <c r="AB306" s="1305"/>
      <c r="AC306" s="1305"/>
      <c r="AD306" s="1305"/>
      <c r="AE306" s="1305"/>
      <c r="AF306" s="1305"/>
      <c r="AG306" s="1367"/>
      <c r="AH306" s="1367"/>
      <c r="AI306" s="1367"/>
      <c r="AJ306" s="1367"/>
      <c r="AK306" s="1367"/>
      <c r="AL306" s="1367"/>
      <c r="AM306" s="1367"/>
      <c r="AN306" s="1367"/>
      <c r="AO306" s="1367"/>
      <c r="AP306" s="1367"/>
      <c r="AQ306" s="1367"/>
      <c r="AR306" s="1367"/>
      <c r="AS306" s="1367"/>
      <c r="AT306" s="1367"/>
      <c r="AU306" s="1367"/>
      <c r="AV306" s="1367"/>
      <c r="AW306" s="1367"/>
      <c r="AX306" s="1367"/>
      <c r="AY306" s="1367"/>
      <c r="AZ306" s="1367"/>
      <c r="BA306" s="1367"/>
      <c r="BB306" s="1367"/>
      <c r="BC306" s="1307"/>
      <c r="BD306" s="1307"/>
    </row>
    <row r="307" spans="1:56" ht="47.4" customHeight="1">
      <c r="A307" s="1366"/>
      <c r="B307" s="1366"/>
      <c r="C307" s="1366"/>
      <c r="D307" s="1295"/>
      <c r="E307" s="1295"/>
      <c r="F307" s="1295"/>
      <c r="G307" s="1295"/>
      <c r="H307" s="1295"/>
      <c r="I307" s="1295"/>
      <c r="J307" s="1295"/>
      <c r="K307" s="1295"/>
      <c r="L307" s="1295"/>
      <c r="M307" s="1295"/>
      <c r="N307" s="1295"/>
      <c r="O307" s="1295"/>
      <c r="P307" s="1295"/>
      <c r="Q307" s="1295"/>
      <c r="R307" s="1295"/>
      <c r="S307" s="1305"/>
      <c r="T307" s="1305"/>
      <c r="U307" s="1305"/>
      <c r="V307" s="1305"/>
      <c r="W307" s="1305"/>
      <c r="X307" s="1305"/>
      <c r="Y307" s="1295"/>
      <c r="Z307" s="1295"/>
      <c r="AA307" s="1295"/>
      <c r="AB307" s="1305"/>
      <c r="AC307" s="1305"/>
      <c r="AD307" s="1305"/>
      <c r="AE307" s="1305"/>
      <c r="AF307" s="1305"/>
      <c r="AG307" s="1367"/>
      <c r="AH307" s="1367"/>
      <c r="AI307" s="1367"/>
      <c r="AJ307" s="1367"/>
      <c r="AK307" s="1367"/>
      <c r="AL307" s="1367"/>
      <c r="AM307" s="1367"/>
      <c r="AN307" s="1367"/>
      <c r="AO307" s="1367"/>
      <c r="AP307" s="1367"/>
      <c r="AQ307" s="1367"/>
      <c r="AR307" s="1367"/>
      <c r="AS307" s="1367"/>
      <c r="AT307" s="1367"/>
      <c r="AU307" s="1367"/>
      <c r="AV307" s="1367"/>
      <c r="AW307" s="1367"/>
      <c r="AX307" s="1367"/>
      <c r="AY307" s="1367"/>
      <c r="AZ307" s="1367"/>
      <c r="BA307" s="1367"/>
      <c r="BB307" s="1367"/>
      <c r="BC307" s="1307"/>
      <c r="BD307" s="1307"/>
    </row>
    <row r="308" spans="1:56" ht="47.4" customHeight="1">
      <c r="A308" s="1366"/>
      <c r="B308" s="1366"/>
      <c r="C308" s="1366"/>
      <c r="D308" s="1295"/>
      <c r="E308" s="1295"/>
      <c r="F308" s="1295"/>
      <c r="G308" s="1295"/>
      <c r="H308" s="1295"/>
      <c r="I308" s="1295"/>
      <c r="J308" s="1295"/>
      <c r="K308" s="1295"/>
      <c r="L308" s="1295"/>
      <c r="M308" s="1295"/>
      <c r="N308" s="1295"/>
      <c r="O308" s="1295"/>
      <c r="P308" s="1295"/>
      <c r="Q308" s="1295"/>
      <c r="R308" s="1295"/>
      <c r="S308" s="1305"/>
      <c r="T308" s="1305"/>
      <c r="U308" s="1305"/>
      <c r="V308" s="1305"/>
      <c r="W308" s="1305"/>
      <c r="X308" s="1305"/>
      <c r="Y308" s="1295"/>
      <c r="Z308" s="1295"/>
      <c r="AA308" s="1295"/>
      <c r="AB308" s="1305"/>
      <c r="AC308" s="1305"/>
      <c r="AD308" s="1305"/>
      <c r="AE308" s="1305"/>
      <c r="AF308" s="1305"/>
      <c r="AG308" s="1367"/>
      <c r="AH308" s="1367"/>
      <c r="AI308" s="1367"/>
      <c r="AJ308" s="1367"/>
      <c r="AK308" s="1367"/>
      <c r="AL308" s="1367"/>
      <c r="AM308" s="1367"/>
      <c r="AN308" s="1367"/>
      <c r="AO308" s="1367"/>
      <c r="AP308" s="1367"/>
      <c r="AQ308" s="1367"/>
      <c r="AR308" s="1367"/>
      <c r="AS308" s="1367"/>
      <c r="AT308" s="1367"/>
      <c r="AU308" s="1367"/>
      <c r="AV308" s="1367"/>
      <c r="AW308" s="1367"/>
      <c r="AX308" s="1367"/>
      <c r="AY308" s="1367"/>
      <c r="AZ308" s="1367"/>
      <c r="BA308" s="1367"/>
      <c r="BB308" s="1367"/>
      <c r="BC308" s="1307"/>
      <c r="BD308" s="1307"/>
    </row>
    <row r="309" spans="1:56" ht="47.4" customHeight="1">
      <c r="A309" s="1366"/>
      <c r="B309" s="1366"/>
      <c r="C309" s="1366"/>
      <c r="D309" s="1295"/>
      <c r="E309" s="1295"/>
      <c r="F309" s="1295"/>
      <c r="G309" s="1295"/>
      <c r="H309" s="1295"/>
      <c r="I309" s="1295"/>
      <c r="J309" s="1295"/>
      <c r="K309" s="1295"/>
      <c r="L309" s="1295"/>
      <c r="M309" s="1295"/>
      <c r="N309" s="1295"/>
      <c r="O309" s="1295"/>
      <c r="P309" s="1295"/>
      <c r="Q309" s="1295"/>
      <c r="R309" s="1295"/>
      <c r="S309" s="1305"/>
      <c r="T309" s="1305"/>
      <c r="U309" s="1305"/>
      <c r="V309" s="1305"/>
      <c r="W309" s="1305"/>
      <c r="X309" s="1305"/>
      <c r="Y309" s="1295"/>
      <c r="Z309" s="1295"/>
      <c r="AA309" s="1295"/>
      <c r="AB309" s="1305"/>
      <c r="AC309" s="1305"/>
      <c r="AD309" s="1305"/>
      <c r="AE309" s="1305"/>
      <c r="AF309" s="1305"/>
      <c r="AG309" s="1367"/>
      <c r="AH309" s="1367"/>
      <c r="AI309" s="1367"/>
      <c r="AJ309" s="1367"/>
      <c r="AK309" s="1367"/>
      <c r="AL309" s="1367"/>
      <c r="AM309" s="1367"/>
      <c r="AN309" s="1367"/>
      <c r="AO309" s="1367"/>
      <c r="AP309" s="1367"/>
      <c r="AQ309" s="1367"/>
      <c r="AR309" s="1367"/>
      <c r="AS309" s="1367"/>
      <c r="AT309" s="1367"/>
      <c r="AU309" s="1367"/>
      <c r="AV309" s="1367"/>
      <c r="AW309" s="1367"/>
      <c r="AX309" s="1367"/>
      <c r="AY309" s="1367"/>
      <c r="AZ309" s="1367"/>
      <c r="BA309" s="1367"/>
      <c r="BB309" s="1367"/>
      <c r="BC309" s="1307"/>
      <c r="BD309" s="1307"/>
    </row>
    <row r="310" spans="1:56" ht="47.4" customHeight="1">
      <c r="A310" s="1366"/>
      <c r="B310" s="1366"/>
      <c r="C310" s="1366"/>
      <c r="D310" s="1295"/>
      <c r="E310" s="1295"/>
      <c r="F310" s="1295"/>
      <c r="G310" s="1295"/>
      <c r="H310" s="1295"/>
      <c r="I310" s="1295"/>
      <c r="J310" s="1295"/>
      <c r="K310" s="1295"/>
      <c r="L310" s="1295"/>
      <c r="M310" s="1295"/>
      <c r="N310" s="1295"/>
      <c r="O310" s="1295"/>
      <c r="P310" s="1295"/>
      <c r="Q310" s="1295"/>
      <c r="R310" s="1295"/>
      <c r="S310" s="1305"/>
      <c r="T310" s="1305"/>
      <c r="U310" s="1305"/>
      <c r="V310" s="1305"/>
      <c r="W310" s="1305"/>
      <c r="X310" s="1305"/>
      <c r="Y310" s="1295"/>
      <c r="Z310" s="1295"/>
      <c r="AA310" s="1295"/>
      <c r="AB310" s="1305"/>
      <c r="AC310" s="1305"/>
      <c r="AD310" s="1305"/>
      <c r="AE310" s="1305"/>
      <c r="AF310" s="1305"/>
      <c r="AG310" s="1367"/>
      <c r="AH310" s="1367"/>
      <c r="AI310" s="1367"/>
      <c r="AJ310" s="1367"/>
      <c r="AK310" s="1367"/>
      <c r="AL310" s="1367"/>
      <c r="AM310" s="1367"/>
      <c r="AN310" s="1367"/>
      <c r="AO310" s="1367"/>
      <c r="AP310" s="1367"/>
      <c r="AQ310" s="1367"/>
      <c r="AR310" s="1367"/>
      <c r="AS310" s="1367"/>
      <c r="AT310" s="1367"/>
      <c r="AU310" s="1367"/>
      <c r="AV310" s="1367"/>
      <c r="AW310" s="1367"/>
      <c r="AX310" s="1367"/>
      <c r="AY310" s="1367"/>
      <c r="AZ310" s="1367"/>
      <c r="BA310" s="1367"/>
      <c r="BB310" s="1367"/>
      <c r="BC310" s="1307"/>
      <c r="BD310" s="1307"/>
    </row>
    <row r="311" spans="1:56" ht="47.4" customHeight="1">
      <c r="A311" s="1366"/>
      <c r="B311" s="1366"/>
      <c r="C311" s="1366"/>
      <c r="D311" s="1295"/>
      <c r="E311" s="1295"/>
      <c r="F311" s="1295"/>
      <c r="G311" s="1295"/>
      <c r="H311" s="1295"/>
      <c r="I311" s="1295"/>
      <c r="J311" s="1295"/>
      <c r="K311" s="1295"/>
      <c r="L311" s="1295"/>
      <c r="M311" s="1295"/>
      <c r="N311" s="1295"/>
      <c r="O311" s="1295"/>
      <c r="P311" s="1295"/>
      <c r="Q311" s="1295"/>
      <c r="R311" s="1295"/>
      <c r="S311" s="1305"/>
      <c r="T311" s="1305"/>
      <c r="U311" s="1305"/>
      <c r="V311" s="1305"/>
      <c r="W311" s="1305"/>
      <c r="X311" s="1305"/>
      <c r="Y311" s="1295"/>
      <c r="Z311" s="1295"/>
      <c r="AA311" s="1295"/>
      <c r="AB311" s="1305"/>
      <c r="AC311" s="1305"/>
      <c r="AD311" s="1305"/>
      <c r="AE311" s="1305"/>
      <c r="AF311" s="1305"/>
      <c r="AG311" s="1367"/>
      <c r="AH311" s="1367"/>
      <c r="AI311" s="1367"/>
      <c r="AJ311" s="1367"/>
      <c r="AK311" s="1367"/>
      <c r="AL311" s="1367"/>
      <c r="AM311" s="1367"/>
      <c r="AN311" s="1367"/>
      <c r="AO311" s="1367"/>
      <c r="AP311" s="1367"/>
      <c r="AQ311" s="1367"/>
      <c r="AR311" s="1367"/>
      <c r="AS311" s="1367"/>
      <c r="AT311" s="1367"/>
      <c r="AU311" s="1367"/>
      <c r="AV311" s="1367"/>
      <c r="AW311" s="1367"/>
      <c r="AX311" s="1367"/>
      <c r="AY311" s="1367"/>
      <c r="AZ311" s="1367"/>
      <c r="BA311" s="1367"/>
      <c r="BB311" s="1367"/>
      <c r="BC311" s="1307"/>
      <c r="BD311" s="1307"/>
    </row>
    <row r="312" spans="1:56" ht="47.4" customHeight="1">
      <c r="A312" s="1366"/>
      <c r="B312" s="1366"/>
      <c r="C312" s="1366"/>
      <c r="D312" s="1295"/>
      <c r="E312" s="1295"/>
      <c r="F312" s="1295"/>
      <c r="G312" s="1295"/>
      <c r="H312" s="1295"/>
      <c r="I312" s="1295"/>
      <c r="J312" s="1295"/>
      <c r="K312" s="1295"/>
      <c r="L312" s="1295"/>
      <c r="M312" s="1295"/>
      <c r="N312" s="1295"/>
      <c r="O312" s="1295"/>
      <c r="P312" s="1295"/>
      <c r="Q312" s="1295"/>
      <c r="R312" s="1295"/>
      <c r="S312" s="1305"/>
      <c r="T312" s="1305"/>
      <c r="U312" s="1305"/>
      <c r="V312" s="1305"/>
      <c r="W312" s="1305"/>
      <c r="X312" s="1305"/>
      <c r="Y312" s="1295"/>
      <c r="Z312" s="1295"/>
      <c r="AA312" s="1295"/>
      <c r="AB312" s="1305"/>
      <c r="AC312" s="1305"/>
      <c r="AD312" s="1305"/>
      <c r="AE312" s="1305"/>
      <c r="AF312" s="1305"/>
      <c r="AG312" s="1367"/>
      <c r="AH312" s="1367"/>
      <c r="AI312" s="1367"/>
      <c r="AJ312" s="1367"/>
      <c r="AK312" s="1367"/>
      <c r="AL312" s="1367"/>
      <c r="AM312" s="1367"/>
      <c r="AN312" s="1367"/>
      <c r="AO312" s="1367"/>
      <c r="AP312" s="1367"/>
      <c r="AQ312" s="1367"/>
      <c r="AR312" s="1367"/>
      <c r="AS312" s="1367"/>
      <c r="AT312" s="1367"/>
      <c r="AU312" s="1367"/>
      <c r="AV312" s="1367"/>
      <c r="AW312" s="1367"/>
      <c r="AX312" s="1367"/>
      <c r="AY312" s="1367"/>
      <c r="AZ312" s="1367"/>
      <c r="BA312" s="1367"/>
      <c r="BB312" s="1367"/>
      <c r="BC312" s="1307"/>
      <c r="BD312" s="1307"/>
    </row>
    <row r="313" spans="1:56" ht="47.4" customHeight="1">
      <c r="A313" s="1366"/>
      <c r="B313" s="1366"/>
      <c r="C313" s="1368"/>
      <c r="D313" s="1368"/>
      <c r="E313" s="1368"/>
      <c r="F313" s="1368"/>
      <c r="G313" s="1368"/>
      <c r="H313" s="1368"/>
      <c r="I313" s="1368"/>
      <c r="J313" s="1368"/>
      <c r="K313" s="1368"/>
      <c r="L313" s="1368"/>
      <c r="M313" s="1368"/>
      <c r="N313" s="1368"/>
      <c r="O313" s="1368"/>
      <c r="P313" s="1368"/>
      <c r="Q313" s="1368"/>
      <c r="R313" s="1368"/>
      <c r="S313" s="1368"/>
      <c r="T313" s="1368"/>
      <c r="U313" s="1368"/>
      <c r="V313" s="1368"/>
      <c r="W313" s="1368"/>
      <c r="X313" s="1368"/>
      <c r="Y313" s="1368"/>
      <c r="Z313" s="1368"/>
      <c r="AA313" s="1368"/>
      <c r="AB313" s="1368"/>
      <c r="AC313" s="1368"/>
      <c r="AD313" s="1368"/>
      <c r="AE313" s="1368"/>
      <c r="AF313" s="1368"/>
      <c r="AG313" s="1368"/>
      <c r="AH313" s="1368"/>
      <c r="AI313" s="1368"/>
      <c r="AJ313" s="1368"/>
      <c r="AK313" s="1368"/>
      <c r="AL313" s="1368"/>
      <c r="AM313" s="1368"/>
      <c r="AN313" s="1368"/>
      <c r="AO313" s="1368"/>
      <c r="AP313" s="1368"/>
      <c r="AQ313" s="1368"/>
      <c r="AR313" s="1368"/>
      <c r="AS313" s="1368"/>
      <c r="AT313" s="1368"/>
      <c r="AU313" s="1368"/>
      <c r="AV313" s="1368"/>
      <c r="AW313" s="1368"/>
      <c r="AX313" s="1368"/>
      <c r="AY313" s="1368"/>
      <c r="AZ313" s="1368"/>
      <c r="BA313" s="1368"/>
      <c r="BB313" s="1368"/>
      <c r="BC313" s="1308"/>
      <c r="BD313" s="1308"/>
    </row>
  </sheetData>
  <autoFilter ref="A5:BL297" xr:uid="{3ADCE4D9-CEC2-41DC-9B42-6628A58B2FCF}">
    <filterColumn colId="3" showButton="0"/>
    <filterColumn colId="4" showButton="0"/>
    <filterColumn colId="5" showButton="0"/>
    <filterColumn colId="7" showButton="0"/>
    <filterColumn colId="8" showButton="0"/>
    <filterColumn colId="9" showButton="0"/>
    <filterColumn colId="11" showButton="0"/>
    <filterColumn colId="12" showButton="0"/>
    <filterColumn colId="14" showButton="0"/>
    <filterColumn colId="15" showButton="0"/>
    <filterColumn colId="16" showButton="0"/>
    <filterColumn colId="28" showButton="0"/>
    <filterColumn colId="29" showButton="0"/>
    <filterColumn colId="30" showButton="0"/>
    <filterColumn colId="32">
      <filters blank="1">
        <filter val="$ 1.075.000.000"/>
        <filter val="$ 1.250.000.000"/>
        <filter val="$ 1.444.314.591"/>
        <filter val="$ 1.785.818.249"/>
        <filter val="$ 10.000.000"/>
        <filter val="$ 10.087.760"/>
        <filter val="$ 100.000.000"/>
        <filter val="$ 102.500.000"/>
        <filter val="$ 110.000.000"/>
        <filter val="$ 115.766.313.296,00"/>
        <filter val="$ 12.075.370.369"/>
        <filter val="$ 12.195.214.490"/>
        <filter val="$ 125.000.000"/>
        <filter val="$ 140.000.000"/>
        <filter val="$ 147.980.718"/>
        <filter val="$ 150.000.000"/>
        <filter val="$ 150.019.282"/>
        <filter val="$ 157.000.000"/>
        <filter val="$ 165.000.000"/>
        <filter val="$ 170.000.000"/>
        <filter val="$ 175.000.000"/>
        <filter val="$ 2.337.657.757"/>
        <filter val="$ 20.000.000"/>
        <filter val="$ 200.000.000"/>
        <filter val="$ 212.500.000"/>
        <filter val="$ 220.000.000"/>
        <filter val="$ 225.000.000"/>
        <filter val="$ 244.912.240"/>
        <filter val="$ 25.000.000"/>
        <filter val="$ 250.000.000"/>
        <filter val="$ 260.000.000"/>
        <filter val="$ 280.000.000"/>
        <filter val="$ 30.000.000"/>
        <filter val="$ 300.000.000"/>
        <filter val="$ 33.344.352.505"/>
        <filter val="$ 340.000.000"/>
        <filter val="$ 350.000.000"/>
        <filter val="$ 355.000.000"/>
        <filter val="$ 362.500.000"/>
        <filter val="$ 371.100.372"/>
        <filter val="$ 4.368.348.000"/>
        <filter val="$ 40.000.000"/>
        <filter val="$ 400.000.000"/>
        <filter val="$ 423.105.792"/>
        <filter val="$ 434.000.000"/>
        <filter val="$ 440.000.000"/>
        <filter val="$ 450.000.000"/>
        <filter val="$ 5.000.000"/>
        <filter val="$ 50.000.000"/>
        <filter val="$ 500.000.000"/>
        <filter val="$ 550.000.000"/>
        <filter val="$ 563.000.000"/>
        <filter val="$ 583.188.080"/>
        <filter val="$ 6.100.000.000"/>
        <filter val="$ 6.350.000.000"/>
        <filter val="$ 60.000.000"/>
        <filter val="$ 600.000.000"/>
        <filter val="$ 62.500.000"/>
        <filter val="$ 65.000.000"/>
        <filter val="$ 650.000.000"/>
        <filter val="$ 70.000.000"/>
        <filter val="$ 700.000.000"/>
        <filter val="$ 705.366.669"/>
        <filter val="$ 75.000.000"/>
        <filter val="$ 80.000.000"/>
        <filter val="$ 860.000.000"/>
        <filter val="$ 90.000.000"/>
        <filter val="$ 91.297.027"/>
        <filter val="$ 95.000.000"/>
        <filter val="1.075.000.000,00"/>
        <filter val="1.200.000.000"/>
        <filter val="1.200.000.000,00"/>
        <filter val="1.230.000.000"/>
        <filter val="1.250.000.000"/>
        <filter val="1.300.000.000"/>
        <filter val="1.550.000.000"/>
        <filter val="1.560.000.000"/>
        <filter val="1.670.000.000"/>
        <filter val="1.718.000.000"/>
        <filter val="1.780.000.000"/>
        <filter val="1.890.000.000"/>
        <filter val="100.000.000"/>
        <filter val="110.000.000"/>
        <filter val="112.500.000"/>
        <filter val="12.170.370.369"/>
        <filter val="12.184.476.422,00"/>
        <filter val="125.000.000"/>
        <filter val="14.000.370.369"/>
        <filter val="14.047.657.757,00"/>
        <filter val="150.000.000"/>
        <filter val="175.000.000"/>
        <filter val="180.000.000"/>
        <filter val="2.050.000.000"/>
        <filter val="2.218.000.000"/>
        <filter val="2.300.000.000"/>
        <filter val="2.337.657.757"/>
        <filter val="2.954.655.121"/>
        <filter val="200.000.000"/>
        <filter val="21.054.138.531"/>
        <filter val="212.500.000"/>
        <filter val="24.558.793.652"/>
        <filter val="250.000.000"/>
        <filter val="260.000.000"/>
        <filter val="300.000.000"/>
        <filter val="322.500.000"/>
        <filter val="350.000.000"/>
        <filter val="350000000"/>
        <filter val="370.000.000"/>
        <filter val="386.297.027"/>
        <filter val="39.157.015.096"/>
        <filter val="390.000.000"/>
        <filter val="40.000.000"/>
        <filter val="400.000.000"/>
        <filter val="450.000.000"/>
        <filter val="456.297.027"/>
        <filter val="490.000.000"/>
        <filter val="5.250.000.000,00"/>
        <filter val="5.754.179.395"/>
        <filter val="535.000.000"/>
        <filter val="550.000.000"/>
        <filter val="574.000.000"/>
        <filter val="6.100.000.000"/>
        <filter val="6.568.000.000"/>
        <filter val="6.625.000.000"/>
        <filter val="600.000.000"/>
        <filter val="630.000.000"/>
        <filter val="65.000.000"/>
        <filter val="680.000.000"/>
        <filter val="70.000.000"/>
        <filter val="700.000.000"/>
        <filter val="710.000.000"/>
        <filter val="750.000.000"/>
        <filter val="77.716.179.117,00"/>
        <filter val="787.500.000"/>
        <filter val="790.000.000"/>
        <filter val="80.000.000"/>
        <filter val="896.500.000"/>
        <filter val="900.000.000"/>
        <filter val="990.000.000"/>
      </filters>
    </filterColumn>
    <filterColumn colId="33" showButton="0">
      <filters>
        <filter val="$ 0"/>
        <filter val="$ 1.299.706.569"/>
        <filter val="$ 1.573.877.311"/>
        <filter val="$ 10.000.000"/>
        <filter val="$ 10.500.000"/>
        <filter val="$ 10.800.000"/>
        <filter val="$ 105.061.300"/>
        <filter val="$ 12.000.000"/>
        <filter val="$ 120.914.682"/>
        <filter val="$ 125.000.000"/>
        <filter val="$ 14.500.000"/>
        <filter val="$ 143.950.000"/>
        <filter val="$ 149.750.000,00"/>
        <filter val="$ 15.000.000"/>
        <filter val="$ 151.150.000"/>
        <filter val="$ 164.237.276"/>
        <filter val="$ 18.610.750"/>
        <filter val="$ 199.891.740"/>
        <filter val="$ 2.000.000.000"/>
        <filter val="$ 2.112.242"/>
        <filter val="$ 2.817.080.389,80"/>
        <filter val="$ 200.000.000"/>
        <filter val="$ 215.750.000"/>
        <filter val="$ 218.315.733"/>
        <filter val="$ 22.800.000"/>
        <filter val="$ 24.000.000"/>
        <filter val="$ 247.344.825"/>
        <filter val="$ 25.000.000"/>
        <filter val="$ 25.700.000"/>
        <filter val="$ 250.000.000"/>
        <filter val="$ 27.500.000"/>
        <filter val="$ 299.800.000"/>
        <filter val="$ 31.198.247.000,9"/>
        <filter val="$ 35.000.000"/>
        <filter val="$ 35.200.000"/>
        <filter val="$ 350.000.000"/>
        <filter val="$ 37.050.000"/>
        <filter val="$ 397.500.000"/>
        <filter val="$ 399.801.255,61"/>
        <filter val="$ 4.000.000"/>
        <filter val="$ 40.000.000"/>
        <filter val="$ 40.800.000"/>
        <filter val="$ 43.500.000"/>
        <filter val="$ 46.000.000"/>
        <filter val="$ 47.326.200"/>
        <filter val="$ 480.000.000"/>
        <filter val="$ 49.311.000"/>
        <filter val="$ 5.376.651.240"/>
        <filter val="$ 50.000.000"/>
        <filter val="$ 51.000.000"/>
        <filter val="$ 516.510.025"/>
        <filter val="$ 55.450.000"/>
        <filter val="$ 56.200.000"/>
        <filter val="$ 56.750.000"/>
        <filter val="$ 599.224.500"/>
        <filter val="$ 60.000.000"/>
        <filter val="$ 600.000.000"/>
        <filter val="$ 63.560.805.671,06"/>
        <filter val="$ 649.891.449"/>
        <filter val="$ 68.500.000"/>
        <filter val="$ 69.472.200"/>
        <filter val="$ 70.850.000"/>
        <filter val="$ 77.150.000"/>
        <filter val="$ 78.400.000"/>
        <filter val="$ 79.200.000"/>
        <filter val="$ 79.700.000"/>
        <filter val="$ 8.330.000"/>
        <filter val="$ 837.503.911"/>
        <filter val="$ 85.600.000"/>
        <filter val="$ 87.791.456"/>
        <filter val="$ 88.650.000"/>
        <filter val="$ 91.650.000"/>
        <filter val="$ 92.700.000"/>
        <filter val="$ 93.190.909"/>
        <filter val="$ 94.500.000"/>
        <filter val="$ 97.000.000"/>
        <filter val="$ 99.050.000"/>
        <filter val="1.022.391.740"/>
        <filter val="1.216.381.367"/>
        <filter val="1.417.500.000"/>
        <filter val="1.620.388.056"/>
        <filter val="1.659.050.070"/>
        <filter val="1.771.156.569"/>
        <filter val="1.833.038.631"/>
        <filter val="10.000.000"/>
        <filter val="10.500.000"/>
        <filter val="100.000.000"/>
        <filter val="103.830.000"/>
        <filter val="105.061.300"/>
        <filter val="112.250.000"/>
        <filter val="117.660.750"/>
        <filter val="12.000.000"/>
        <filter val="124.485.000"/>
        <filter val="125.000.000"/>
        <filter val="143.950.000"/>
        <filter val="162.750.000"/>
        <filter val="163.061.300"/>
        <filter val="176.700.000"/>
        <filter val="191.150.000"/>
        <filter val="2.780.417.319"/>
        <filter val="201.626.200"/>
        <filter val="202.888.056"/>
        <filter val="205.472.200"/>
        <filter val="211.626.200"/>
        <filter val="213.135.000"/>
        <filter val="215.750.000"/>
        <filter val="244.410.750"/>
        <filter val="25.700.000"/>
        <filter val="2671026967"/>
        <filter val="296.655.825"/>
        <filter val="3.756.011.938,75"/>
        <filter val="313.482.365"/>
        <filter val="341.342.657"/>
        <filter val="350.000.000"/>
        <filter val="38.574.898.240,9"/>
        <filter val="4.000.000"/>
        <filter val="4.965.508.956,41"/>
        <filter val="46.412.999.007"/>
        <filter val="47.000.000"/>
        <filter val="51.000.000"/>
        <filter val="516.510.025"/>
        <filter val="519.650.000"/>
        <filter val="52.830.000"/>
        <filter val="576.557.090"/>
        <filter val="58.000.000"/>
        <filter val="591.605.825"/>
        <filter val="6.107.311.808"/>
        <filter val="6.179.050.696"/>
        <filter val="68.500.000"/>
        <filter val="680.000.000"/>
        <filter val="79.200.000"/>
        <filter val="833.538.631"/>
        <filter val="837.503.911"/>
        <filter val="874.500.000"/>
        <filter val="88.650.000"/>
        <filter val="919.742.980"/>
        <filter val="92.700.000"/>
        <filter val="94.500.000"/>
      </filters>
    </filterColumn>
    <filterColumn colId="34" showButton="0"/>
    <filterColumn colId="35" showButton="0"/>
    <filterColumn colId="38" showButton="0"/>
    <filterColumn colId="39" showButton="0"/>
    <filterColumn colId="40" showButton="0"/>
    <filterColumn colId="42">
      <filters>
        <filter val="0,00%"/>
        <filter val="10,00%"/>
        <filter val="100,00%"/>
        <filter val="13,69%"/>
        <filter val="19,83%"/>
        <filter val="24,66%"/>
        <filter val="26,76%"/>
        <filter val="27,28%"/>
        <filter val="30,23%"/>
        <filter val="33,61%"/>
        <filter val="34,36%"/>
        <filter val="35,19%"/>
        <filter val="35,36%"/>
        <filter val="36,87%"/>
        <filter val="42,18%"/>
        <filter val="44,90%"/>
        <filter val="45,80%"/>
        <filter val="45,83%"/>
        <filter val="47,40%"/>
        <filter val="48,81%"/>
        <filter val="50,10%"/>
        <filter val="50,83%"/>
        <filter val="52,24%"/>
        <filter val="53,27%"/>
        <filter val="54,25%"/>
        <filter val="55,70%"/>
        <filter val="57,03%"/>
        <filter val="58,00%"/>
        <filter val="60,74%"/>
        <filter val="61,58%"/>
        <filter val="62,15%"/>
        <filter val="63,21%"/>
        <filter val="63,83%"/>
        <filter val="64,87%"/>
        <filter val="66,85%"/>
        <filter val="66,98%"/>
        <filter val="67,66%"/>
        <filter val="69,41%"/>
        <filter val="69,47%"/>
        <filter val="7,77%"/>
        <filter val="70,11%"/>
        <filter val="70,87%"/>
        <filter val="70,99%"/>
        <filter val="73,08%"/>
        <filter val="73,10%"/>
        <filter val="74,16%"/>
        <filter val="74,18%"/>
        <filter val="74,58%"/>
        <filter val="75,12%"/>
        <filter val="75,13%"/>
        <filter val="75,37%"/>
        <filter val="76,06%"/>
        <filter val="76,25%"/>
        <filter val="76,38%"/>
        <filter val="76,66%"/>
        <filter val="77,12%"/>
        <filter val="77,86%"/>
        <filter val="78,26%"/>
        <filter val="78,83%"/>
        <filter val="79,01%"/>
        <filter val="79,34%"/>
        <filter val="79,45%"/>
        <filter val="79,65%"/>
        <filter val="79,69%"/>
        <filter val="79,86%"/>
        <filter val="8,10%"/>
        <filter val="8,63%"/>
        <filter val="8,86%"/>
        <filter val="80,20%"/>
        <filter val="80,23%"/>
        <filter val="80,56%"/>
        <filter val="80,61%"/>
        <filter val="81,99%"/>
        <filter val="82,46%"/>
        <filter val="82,68%"/>
        <filter val="83,08%"/>
        <filter val="83,33%"/>
        <filter val="83,37%"/>
        <filter val="83,47%"/>
        <filter val="83,86%"/>
        <filter val="83,98%"/>
        <filter val="84,70%"/>
        <filter val="85,17%"/>
        <filter val="85,25%"/>
        <filter val="86,72%"/>
        <filter val="87,25%"/>
        <filter val="87,37%"/>
        <filter val="87,44%"/>
        <filter val="88,87%"/>
        <filter val="89,72%"/>
        <filter val="9,83%"/>
        <filter val="9,94%"/>
        <filter val="91,04%"/>
        <filter val="91,10%"/>
        <filter val="91,18%"/>
        <filter val="91,60%"/>
        <filter val="91,72%"/>
        <filter val="92,00%"/>
        <filter val="92,11%"/>
        <filter val="92,18%"/>
        <filter val="92,41%"/>
        <filter val="92,55%"/>
        <filter val="92,75%"/>
        <filter val="92,84%"/>
        <filter val="93,12%"/>
        <filter val="93,33%"/>
        <filter val="93,36%"/>
        <filter val="93,43%"/>
        <filter val="93,70%"/>
        <filter val="93,83%"/>
        <filter val="93,98%"/>
        <filter val="94,24%"/>
        <filter val="94,28%"/>
        <filter val="94,47%"/>
        <filter val="94,48%"/>
        <filter val="94,66%"/>
        <filter val="94,93%"/>
        <filter val="94,94%"/>
        <filter val="95,51%"/>
        <filter val="96,16%"/>
        <filter val="96,25%"/>
        <filter val="96,37%"/>
        <filter val="96,42%"/>
        <filter val="96,58%"/>
        <filter val="96,67%"/>
        <filter val="96,68%"/>
        <filter val="96,72%"/>
        <filter val="96,79%"/>
        <filter val="97,16%"/>
        <filter val="97,42%"/>
        <filter val="97,44%"/>
        <filter val="97,77%"/>
        <filter val="98,00%"/>
        <filter val="98,10%"/>
        <filter val="98,29%"/>
        <filter val="98,83%"/>
        <filter val="99,11%"/>
        <filter val="99,15%"/>
        <filter val="99,17%"/>
        <filter val="99,27%"/>
        <filter val="99,28%"/>
        <filter val="99,32%"/>
        <filter val="99,33%"/>
        <filter val="99,35%"/>
        <filter val="99,36%"/>
        <filter val="99,45%"/>
        <filter val="99,49%"/>
        <filter val="99,50%"/>
        <filter val="99,60%"/>
        <filter val="99,62%"/>
        <filter val="99,70%"/>
        <filter val="99,79%"/>
        <filter val="99,80%"/>
        <filter val="99,83%"/>
        <filter val="99,93%"/>
        <filter val="99,94%"/>
        <filter val="99,96%"/>
        <filter val="99,99%"/>
      </filters>
    </filterColumn>
  </autoFilter>
  <mergeCells count="100">
    <mergeCell ref="L5:N5"/>
    <mergeCell ref="A1:BH1"/>
    <mergeCell ref="A2:BH2"/>
    <mergeCell ref="A3:BH3"/>
    <mergeCell ref="C4:AF4"/>
    <mergeCell ref="AG4:BD4"/>
    <mergeCell ref="BE4:BH4"/>
    <mergeCell ref="A5:A6"/>
    <mergeCell ref="B5:B6"/>
    <mergeCell ref="C5:C6"/>
    <mergeCell ref="D5:G5"/>
    <mergeCell ref="H5:K5"/>
    <mergeCell ref="AG5:AG6"/>
    <mergeCell ref="O5:R5"/>
    <mergeCell ref="S5:S6"/>
    <mergeCell ref="T5:T6"/>
    <mergeCell ref="U5:U6"/>
    <mergeCell ref="V5:V6"/>
    <mergeCell ref="W5:W6"/>
    <mergeCell ref="X5:X6"/>
    <mergeCell ref="Y5:Y6"/>
    <mergeCell ref="Z5:Z6"/>
    <mergeCell ref="AA5:AA6"/>
    <mergeCell ref="AC5:AF5"/>
    <mergeCell ref="AY5:AY6"/>
    <mergeCell ref="AH5:AK5"/>
    <mergeCell ref="AL5:AL6"/>
    <mergeCell ref="AM5:AP5"/>
    <mergeCell ref="AQ5:AQ6"/>
    <mergeCell ref="AR5:AR6"/>
    <mergeCell ref="AS5:AS6"/>
    <mergeCell ref="AT5:AT6"/>
    <mergeCell ref="AU5:AU6"/>
    <mergeCell ref="AV5:AV6"/>
    <mergeCell ref="AW5:AW6"/>
    <mergeCell ref="AX5:AX6"/>
    <mergeCell ref="BH15:BH17"/>
    <mergeCell ref="AZ5:AZ6"/>
    <mergeCell ref="BA5:BA6"/>
    <mergeCell ref="BB5:BB6"/>
    <mergeCell ref="BC5:BC6"/>
    <mergeCell ref="BD5:BD6"/>
    <mergeCell ref="BE5:BE6"/>
    <mergeCell ref="BF5:BF6"/>
    <mergeCell ref="BG5:BG6"/>
    <mergeCell ref="BH5:BH6"/>
    <mergeCell ref="BH10:BH11"/>
    <mergeCell ref="BH12:BH14"/>
    <mergeCell ref="BH102:BH104"/>
    <mergeCell ref="BH23:BH24"/>
    <mergeCell ref="BH26:BH29"/>
    <mergeCell ref="BH33:BH34"/>
    <mergeCell ref="BH38:BH39"/>
    <mergeCell ref="BH40:BH42"/>
    <mergeCell ref="BH46:BH47"/>
    <mergeCell ref="BH53:BH54"/>
    <mergeCell ref="BH71:BH72"/>
    <mergeCell ref="BH86:BH87"/>
    <mergeCell ref="BH90:BH91"/>
    <mergeCell ref="BH93:BH96"/>
    <mergeCell ref="BH241:BH243"/>
    <mergeCell ref="BH108:BH110"/>
    <mergeCell ref="BH115:BH116"/>
    <mergeCell ref="BH122:BH123"/>
    <mergeCell ref="BH126:BH127"/>
    <mergeCell ref="BH130:BH131"/>
    <mergeCell ref="BH136:BH139"/>
    <mergeCell ref="BH169:BH172"/>
    <mergeCell ref="BH181:BH182"/>
    <mergeCell ref="BH204:BH205"/>
    <mergeCell ref="BH221:BH225"/>
    <mergeCell ref="BH235:BH237"/>
    <mergeCell ref="A305:C305"/>
    <mergeCell ref="AG305:BB305"/>
    <mergeCell ref="BH254:BH255"/>
    <mergeCell ref="BH262:BH265"/>
    <mergeCell ref="BH274:BH276"/>
    <mergeCell ref="A296:C296"/>
    <mergeCell ref="A297:BE297"/>
    <mergeCell ref="A300:C300"/>
    <mergeCell ref="A301:C301"/>
    <mergeCell ref="A302:C302"/>
    <mergeCell ref="A303:C303"/>
    <mergeCell ref="A304:C304"/>
    <mergeCell ref="AG304:BB304"/>
    <mergeCell ref="A306:C306"/>
    <mergeCell ref="AG306:BB306"/>
    <mergeCell ref="A307:C307"/>
    <mergeCell ref="AG307:BB307"/>
    <mergeCell ref="A308:C308"/>
    <mergeCell ref="AG308:BB308"/>
    <mergeCell ref="A312:C312"/>
    <mergeCell ref="AG312:BB312"/>
    <mergeCell ref="A313:BB313"/>
    <mergeCell ref="A309:C309"/>
    <mergeCell ref="AG309:BB309"/>
    <mergeCell ref="A310:C310"/>
    <mergeCell ref="AG310:BB310"/>
    <mergeCell ref="A311:C311"/>
    <mergeCell ref="AG311:BB311"/>
  </mergeCells>
  <printOptions horizontalCentered="1" verticalCentered="1"/>
  <pageMargins left="0" right="0" top="0.98425196850393704" bottom="0.98425196850393704" header="0" footer="0"/>
  <pageSetup scale="21" orientation="landscape"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F6D6A-8C55-4754-A24D-B6816B41D8D9}">
  <sheetPr>
    <pageSetUpPr fitToPage="1"/>
  </sheetPr>
  <dimension ref="A1:B44"/>
  <sheetViews>
    <sheetView topLeftCell="A43" zoomScale="110" zoomScaleNormal="110" workbookViewId="0">
      <selection activeCell="A2" sqref="A2:B2"/>
    </sheetView>
  </sheetViews>
  <sheetFormatPr baseColWidth="10" defaultColWidth="11.44140625" defaultRowHeight="13.2"/>
  <cols>
    <col min="1" max="1" width="47.44140625" style="1309" customWidth="1"/>
    <col min="2" max="2" width="84.109375" style="1309" customWidth="1"/>
    <col min="3" max="16384" width="11.44140625" style="1309"/>
  </cols>
  <sheetData>
    <row r="1" spans="1:2" ht="90.6" customHeight="1" thickBot="1">
      <c r="A1" s="1410"/>
      <c r="B1" s="1410"/>
    </row>
    <row r="2" spans="1:2" ht="27" customHeight="1" thickBot="1">
      <c r="A2" s="1411" t="s">
        <v>2731</v>
      </c>
      <c r="B2" s="1412"/>
    </row>
    <row r="3" spans="1:2" ht="24.75" customHeight="1" thickBot="1">
      <c r="A3" s="1413" t="s">
        <v>1243</v>
      </c>
      <c r="B3" s="1414"/>
    </row>
    <row r="4" spans="1:2">
      <c r="A4" s="1310" t="s">
        <v>2732</v>
      </c>
      <c r="B4" s="1310" t="s">
        <v>1244</v>
      </c>
    </row>
    <row r="5" spans="1:2">
      <c r="A5" s="1311" t="s">
        <v>2061</v>
      </c>
      <c r="B5" s="1312" t="s">
        <v>2733</v>
      </c>
    </row>
    <row r="6" spans="1:2">
      <c r="A6" s="1311" t="s">
        <v>2062</v>
      </c>
      <c r="B6" s="1312" t="s">
        <v>2734</v>
      </c>
    </row>
    <row r="7" spans="1:2" ht="34.5" customHeight="1">
      <c r="A7" s="1311" t="s">
        <v>2735</v>
      </c>
      <c r="B7" s="1312" t="s">
        <v>2736</v>
      </c>
    </row>
    <row r="8" spans="1:2" ht="39.75" customHeight="1">
      <c r="A8" s="1311" t="s">
        <v>2737</v>
      </c>
      <c r="B8" s="1312" t="s">
        <v>2738</v>
      </c>
    </row>
    <row r="9" spans="1:2" ht="32.25" customHeight="1">
      <c r="A9" s="1311" t="s">
        <v>2739</v>
      </c>
      <c r="B9" s="1312" t="s">
        <v>2740</v>
      </c>
    </row>
    <row r="10" spans="1:2" ht="32.25" customHeight="1">
      <c r="A10" s="1311" t="s">
        <v>2741</v>
      </c>
      <c r="B10" s="1312" t="s">
        <v>2742</v>
      </c>
    </row>
    <row r="11" spans="1:2" ht="57.75" customHeight="1">
      <c r="A11" s="1311" t="s">
        <v>2743</v>
      </c>
      <c r="B11" s="1312" t="s">
        <v>2744</v>
      </c>
    </row>
    <row r="12" spans="1:2" ht="21" customHeight="1">
      <c r="A12" s="1311" t="s">
        <v>2745</v>
      </c>
      <c r="B12" s="1312" t="s">
        <v>2746</v>
      </c>
    </row>
    <row r="13" spans="1:2" ht="21" customHeight="1">
      <c r="A13" s="1311" t="s">
        <v>2069</v>
      </c>
      <c r="B13" s="1312" t="s">
        <v>2747</v>
      </c>
    </row>
    <row r="14" spans="1:2" ht="21" customHeight="1">
      <c r="A14" s="1311" t="s">
        <v>2070</v>
      </c>
      <c r="B14" s="1312" t="s">
        <v>2748</v>
      </c>
    </row>
    <row r="15" spans="1:2" ht="21" customHeight="1">
      <c r="A15" s="1311" t="s">
        <v>2071</v>
      </c>
      <c r="B15" s="1312" t="s">
        <v>2749</v>
      </c>
    </row>
    <row r="16" spans="1:2" ht="21" customHeight="1">
      <c r="A16" s="1311" t="s">
        <v>2072</v>
      </c>
      <c r="B16" s="1312" t="s">
        <v>2750</v>
      </c>
    </row>
    <row r="17" spans="1:2" ht="21" customHeight="1">
      <c r="A17" s="1311" t="s">
        <v>2073</v>
      </c>
      <c r="B17" s="1312" t="s">
        <v>2751</v>
      </c>
    </row>
    <row r="18" spans="1:2" ht="21.75" customHeight="1">
      <c r="A18" s="1311" t="s">
        <v>2752</v>
      </c>
      <c r="B18" s="1312" t="s">
        <v>2753</v>
      </c>
    </row>
    <row r="19" spans="1:2" ht="21.75" customHeight="1">
      <c r="A19" s="1311" t="s">
        <v>2754</v>
      </c>
      <c r="B19" s="1312" t="s">
        <v>2755</v>
      </c>
    </row>
    <row r="20" spans="1:2" ht="21" customHeight="1">
      <c r="A20" s="1311" t="s">
        <v>2756</v>
      </c>
      <c r="B20" s="1312" t="s">
        <v>2757</v>
      </c>
    </row>
    <row r="21" spans="1:2" ht="85.5" customHeight="1">
      <c r="A21" s="1311" t="s">
        <v>2758</v>
      </c>
      <c r="B21" s="1313" t="s">
        <v>2759</v>
      </c>
    </row>
    <row r="22" spans="1:2" ht="36.75" customHeight="1">
      <c r="A22" s="1311" t="s">
        <v>2078</v>
      </c>
      <c r="B22" s="1312" t="s">
        <v>2760</v>
      </c>
    </row>
    <row r="23" spans="1:2" ht="30" customHeight="1">
      <c r="A23" s="1311" t="s">
        <v>2761</v>
      </c>
      <c r="B23" s="1314" t="s">
        <v>2762</v>
      </c>
    </row>
    <row r="24" spans="1:2" ht="39" customHeight="1">
      <c r="A24" s="1311" t="s">
        <v>2763</v>
      </c>
      <c r="B24" s="1312" t="s">
        <v>2764</v>
      </c>
    </row>
    <row r="25" spans="1:2" ht="22.5" customHeight="1">
      <c r="A25" s="1311" t="s">
        <v>2765</v>
      </c>
      <c r="B25" s="1312" t="s">
        <v>2766</v>
      </c>
    </row>
    <row r="26" spans="1:2" ht="37.5" customHeight="1">
      <c r="A26" s="1311" t="s">
        <v>2082</v>
      </c>
      <c r="B26" s="1312" t="s">
        <v>2767</v>
      </c>
    </row>
    <row r="27" spans="1:2" ht="22.5" customHeight="1">
      <c r="A27" s="1311" t="s">
        <v>2768</v>
      </c>
      <c r="B27" s="1312" t="s">
        <v>2769</v>
      </c>
    </row>
    <row r="28" spans="1:2" ht="27" customHeight="1">
      <c r="A28" s="1311" t="s">
        <v>2770</v>
      </c>
      <c r="B28" s="1312" t="s">
        <v>2771</v>
      </c>
    </row>
    <row r="29" spans="1:2" ht="22.5" customHeight="1">
      <c r="A29" s="1311" t="s">
        <v>2772</v>
      </c>
      <c r="B29" s="1312" t="s">
        <v>2773</v>
      </c>
    </row>
    <row r="30" spans="1:2" ht="22.5" customHeight="1">
      <c r="A30" s="1311" t="s">
        <v>2774</v>
      </c>
      <c r="B30" s="1312" t="s">
        <v>2775</v>
      </c>
    </row>
    <row r="31" spans="1:2" ht="22.5" customHeight="1">
      <c r="A31" s="1311" t="s">
        <v>2776</v>
      </c>
      <c r="B31" s="1312" t="s">
        <v>2777</v>
      </c>
    </row>
    <row r="32" spans="1:2" ht="22.5" customHeight="1">
      <c r="A32" s="1311" t="s">
        <v>2778</v>
      </c>
      <c r="B32" s="1312" t="s">
        <v>2779</v>
      </c>
    </row>
    <row r="33" spans="1:2" ht="22.5" customHeight="1">
      <c r="A33" s="1311" t="s">
        <v>2780</v>
      </c>
      <c r="B33" s="1312" t="s">
        <v>2777</v>
      </c>
    </row>
    <row r="34" spans="1:2" ht="22.5" customHeight="1">
      <c r="A34" s="1311" t="s">
        <v>2781</v>
      </c>
      <c r="B34" s="1312" t="s">
        <v>2782</v>
      </c>
    </row>
    <row r="35" spans="1:2" ht="22.5" customHeight="1">
      <c r="A35" s="1311" t="s">
        <v>2783</v>
      </c>
      <c r="B35" s="1312" t="s">
        <v>2784</v>
      </c>
    </row>
    <row r="36" spans="1:2" ht="21.75" customHeight="1">
      <c r="A36" s="1311" t="s">
        <v>2785</v>
      </c>
      <c r="B36" s="1312" t="s">
        <v>2786</v>
      </c>
    </row>
    <row r="37" spans="1:2" ht="25.5" customHeight="1">
      <c r="A37" s="1311" t="s">
        <v>2787</v>
      </c>
      <c r="B37" s="1312" t="s">
        <v>2788</v>
      </c>
    </row>
    <row r="38" spans="1:2" ht="25.5" customHeight="1">
      <c r="A38" s="1311" t="s">
        <v>2789</v>
      </c>
      <c r="B38" s="1312" t="s">
        <v>2790</v>
      </c>
    </row>
    <row r="39" spans="1:2" ht="25.5" customHeight="1">
      <c r="A39" s="1311" t="s">
        <v>2791</v>
      </c>
      <c r="B39" s="1312" t="s">
        <v>2792</v>
      </c>
    </row>
    <row r="40" spans="1:2" ht="25.5" customHeight="1">
      <c r="A40" s="1311" t="s">
        <v>2793</v>
      </c>
      <c r="B40" s="1312" t="s">
        <v>2794</v>
      </c>
    </row>
    <row r="41" spans="1:2" ht="21" customHeight="1">
      <c r="A41" s="1311" t="s">
        <v>2795</v>
      </c>
      <c r="B41" s="1312" t="s">
        <v>2796</v>
      </c>
    </row>
    <row r="42" spans="1:2" ht="21" customHeight="1" thickBot="1">
      <c r="A42" s="1315" t="s">
        <v>2797</v>
      </c>
      <c r="B42" s="1316" t="s">
        <v>2798</v>
      </c>
    </row>
    <row r="43" spans="1:2" ht="21" customHeight="1" thickBot="1">
      <c r="A43" s="1315" t="s">
        <v>2799</v>
      </c>
      <c r="B43" s="1316" t="s">
        <v>2800</v>
      </c>
    </row>
    <row r="44" spans="1:2" ht="24" customHeight="1" thickBot="1">
      <c r="A44" s="1315" t="s">
        <v>2801</v>
      </c>
      <c r="B44" s="1316" t="s">
        <v>2802</v>
      </c>
    </row>
  </sheetData>
  <mergeCells count="3">
    <mergeCell ref="A1:B1"/>
    <mergeCell ref="A2:B2"/>
    <mergeCell ref="A3:B3"/>
  </mergeCells>
  <printOptions horizontalCentered="1" verticalCentered="1"/>
  <pageMargins left="0.78740157480314965" right="0.78740157480314965" top="0.98425196850393704" bottom="0.98425196850393704" header="0" footer="0"/>
  <pageSetup scale="70" orientation="landscape"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dimension ref="A1:T32"/>
  <sheetViews>
    <sheetView showGridLines="0" zoomScale="50" zoomScaleNormal="50" workbookViewId="0">
      <pane ySplit="5" topLeftCell="A30" activePane="bottomLeft" state="frozen"/>
      <selection activeCell="D4" sqref="D4"/>
      <selection pane="bottomLeft" activeCell="F32" sqref="F32"/>
    </sheetView>
  </sheetViews>
  <sheetFormatPr baseColWidth="10" defaultColWidth="11.44140625" defaultRowHeight="14.4"/>
  <cols>
    <col min="1" max="1" width="8.5546875" style="316" customWidth="1"/>
    <col min="2" max="2" width="62.44140625" style="316" customWidth="1"/>
    <col min="3" max="3" width="10.109375" style="316" customWidth="1"/>
    <col min="4" max="4" width="16.33203125" style="316" customWidth="1"/>
    <col min="5" max="5" width="19.33203125" style="316" customWidth="1"/>
    <col min="6" max="6" width="20" style="316" customWidth="1"/>
    <col min="7" max="7" width="9" style="316" customWidth="1"/>
    <col min="8" max="8" width="14.44140625" style="316" customWidth="1"/>
    <col min="9" max="9" width="23.44140625" style="316" customWidth="1"/>
    <col min="10" max="10" width="32" style="316" customWidth="1"/>
    <col min="11" max="11" width="15" style="316" customWidth="1"/>
    <col min="12" max="12" width="42.109375" style="316" customWidth="1"/>
    <col min="13" max="13" width="22.44140625" style="316" customWidth="1"/>
    <col min="14" max="14" width="1.88671875" style="316" customWidth="1"/>
    <col min="15" max="15" width="11.44140625" style="316"/>
    <col min="16" max="16" width="23.88671875" style="316" customWidth="1"/>
    <col min="17" max="17" width="21.33203125" style="316" customWidth="1"/>
    <col min="18" max="16384" width="11.44140625" style="316"/>
  </cols>
  <sheetData>
    <row r="1" spans="1:20" s="314" customFormat="1" ht="130.5" customHeight="1" thickBot="1">
      <c r="A1" s="1421"/>
      <c r="B1" s="1422"/>
      <c r="C1" s="1422"/>
      <c r="D1" s="1422"/>
      <c r="E1" s="1422"/>
      <c r="F1" s="1422"/>
      <c r="G1" s="1422"/>
      <c r="H1" s="1422"/>
      <c r="I1" s="1422"/>
      <c r="J1" s="1422"/>
      <c r="K1" s="1422"/>
      <c r="L1" s="1422"/>
      <c r="M1" s="1422"/>
      <c r="N1" s="1422"/>
      <c r="O1" s="1422"/>
      <c r="P1" s="1422"/>
      <c r="Q1" s="1422"/>
      <c r="R1" s="1422"/>
      <c r="S1" s="1422"/>
      <c r="T1" s="1423"/>
    </row>
    <row r="2" spans="1:20" s="315" customFormat="1" ht="16.2" thickBot="1">
      <c r="A2" s="1418">
        <f>+'Datos Generales'!A5</f>
        <v>0</v>
      </c>
      <c r="B2" s="1419"/>
      <c r="C2" s="1419"/>
      <c r="D2" s="1419"/>
      <c r="E2" s="1419"/>
      <c r="F2" s="1419"/>
      <c r="G2" s="1419"/>
      <c r="H2" s="1419"/>
      <c r="I2" s="1419"/>
      <c r="J2" s="1419"/>
      <c r="K2" s="1419"/>
      <c r="L2" s="1419"/>
      <c r="M2" s="1419"/>
      <c r="N2" s="1419"/>
      <c r="O2" s="1419"/>
      <c r="P2" s="1419"/>
      <c r="Q2" s="1419"/>
      <c r="R2" s="1419"/>
      <c r="S2" s="1419"/>
      <c r="T2" s="1420"/>
    </row>
    <row r="3" spans="1:20" s="315" customFormat="1" ht="16.5" customHeight="1" thickBot="1">
      <c r="A3" s="1363" t="s">
        <v>1295</v>
      </c>
      <c r="B3" s="1364"/>
      <c r="C3" s="1364"/>
      <c r="D3" s="1364"/>
      <c r="E3" s="1364"/>
      <c r="F3" s="1364"/>
      <c r="G3" s="1364"/>
      <c r="H3" s="1364"/>
      <c r="I3" s="1364"/>
      <c r="J3" s="1364"/>
      <c r="K3" s="1364"/>
      <c r="L3" s="1364"/>
      <c r="M3" s="1364"/>
      <c r="N3" s="1364"/>
      <c r="O3" s="1364"/>
      <c r="P3" s="1364"/>
      <c r="Q3" s="1364"/>
      <c r="R3" s="1364"/>
      <c r="S3" s="1364"/>
      <c r="T3" s="1365"/>
    </row>
    <row r="4" spans="1:20" s="315" customFormat="1" ht="30.75" customHeight="1" thickBot="1">
      <c r="A4" s="1424" t="s">
        <v>1294</v>
      </c>
      <c r="B4" s="1425"/>
      <c r="C4" s="429"/>
      <c r="D4" s="322" t="str">
        <f>+'Datos Generales'!C6</f>
        <v>2023-II</v>
      </c>
      <c r="E4" s="322"/>
      <c r="F4" s="322"/>
      <c r="G4" s="322"/>
      <c r="H4" s="1418">
        <v>2021</v>
      </c>
      <c r="I4" s="1419"/>
      <c r="J4" s="1420"/>
      <c r="K4" s="1363">
        <v>2022</v>
      </c>
      <c r="L4" s="1364"/>
      <c r="M4" s="1364"/>
      <c r="N4" s="1364"/>
      <c r="O4" s="1365"/>
      <c r="P4" s="1363">
        <v>2023</v>
      </c>
      <c r="Q4" s="1364"/>
      <c r="R4" s="1364"/>
      <c r="S4" s="1364"/>
      <c r="T4" s="1365"/>
    </row>
    <row r="5" spans="1:20" ht="30" customHeight="1">
      <c r="A5" s="306" t="s">
        <v>18</v>
      </c>
      <c r="B5" s="306" t="s">
        <v>1178</v>
      </c>
      <c r="C5" s="307">
        <v>2020</v>
      </c>
      <c r="D5" s="430">
        <v>2021</v>
      </c>
      <c r="E5" s="430">
        <v>2022</v>
      </c>
      <c r="F5" s="430">
        <v>2023</v>
      </c>
      <c r="H5" s="776" t="s">
        <v>1239</v>
      </c>
      <c r="I5" s="777" t="s">
        <v>1240</v>
      </c>
      <c r="J5" s="778" t="s">
        <v>54</v>
      </c>
      <c r="K5" s="764" t="s">
        <v>1237</v>
      </c>
      <c r="L5" s="765" t="s">
        <v>1241</v>
      </c>
      <c r="M5" s="766" t="s">
        <v>54</v>
      </c>
      <c r="N5" s="767" t="s">
        <v>876</v>
      </c>
      <c r="O5" s="768"/>
      <c r="P5" s="764" t="s">
        <v>1237</v>
      </c>
      <c r="Q5" s="765" t="s">
        <v>1241</v>
      </c>
      <c r="R5" s="766" t="s">
        <v>54</v>
      </c>
      <c r="S5" s="767" t="s">
        <v>876</v>
      </c>
      <c r="T5" s="768"/>
    </row>
    <row r="6" spans="1:20" ht="45" customHeight="1">
      <c r="A6" s="431" t="s">
        <v>1143</v>
      </c>
      <c r="B6" s="432" t="s">
        <v>1144</v>
      </c>
      <c r="C6" s="438">
        <f ca="1">+'1POMCAS'!H61</f>
        <v>0.98</v>
      </c>
      <c r="D6" s="433">
        <f>+'1POMCAS'!D8</f>
        <v>0.8</v>
      </c>
      <c r="E6" s="438">
        <f>+'1POMCAS'!D8</f>
        <v>0.8</v>
      </c>
      <c r="F6" s="438">
        <v>0.8</v>
      </c>
      <c r="H6" s="779">
        <f>'1POMCAS'!F10</f>
        <v>0</v>
      </c>
      <c r="I6" s="434" t="str">
        <f>+'1POMCAS'!E12</f>
        <v>Línea Estratégica no. 1. Sostenibilidad del recurso hídrico; Programa 1.1. Planificación, administración y gestión del recurso hídrico para la protección de los ecosistemas. Proyecto 1.1.1. Regulación y reglamentación del recurso hídrico. Actividades: 1.1.1.1; 1.1.1.2 y 1.1.1.7.</v>
      </c>
      <c r="J6" s="780">
        <f>+'1POMCAS'!E13</f>
        <v>0</v>
      </c>
      <c r="K6" s="769" t="str">
        <f t="shared" ref="K6:K32" si="0">IF(ISNUMBER(D6),"",H6)</f>
        <v/>
      </c>
      <c r="L6" s="435" t="str">
        <f t="shared" ref="L6:L32" si="1">IF(ISNUMBER(I6),"",I6)</f>
        <v>Línea Estratégica no. 1. Sostenibilidad del recurso hídrico; Programa 1.1. Planificación, administración y gestión del recurso hídrico para la protección de los ecosistemas. Proyecto 1.1.1. Regulación y reglamentación del recurso hídrico. Actividades: 1.1.1.1; 1.1.1.2 y 1.1.1.7.</v>
      </c>
      <c r="M6" s="436" t="str">
        <f t="shared" ref="M6:M32" si="2">IF(ISNUMBER(J6),"",J6)</f>
        <v/>
      </c>
      <c r="N6" s="437" t="s">
        <v>876</v>
      </c>
      <c r="O6" s="770"/>
      <c r="P6" s="769" t="str">
        <f t="shared" ref="P6:P32" si="3">IF(ISNUMBER(I6),"",L6)</f>
        <v>Línea Estratégica no. 1. Sostenibilidad del recurso hídrico; Programa 1.1. Planificación, administración y gestión del recurso hídrico para la protección de los ecosistemas. Proyecto 1.1.1. Regulación y reglamentación del recurso hídrico. Actividades: 1.1.1.1; 1.1.1.2 y 1.1.1.7.</v>
      </c>
      <c r="Q6" s="435" t="str">
        <f t="shared" ref="Q6" si="4">IF(ISNUMBER(M6),"",M6)</f>
        <v/>
      </c>
      <c r="R6" s="1415" t="str">
        <f t="shared" ref="R6:R32" si="5">IF(ISNUMBER(N6),"",N6)</f>
        <v xml:space="preserve"> </v>
      </c>
      <c r="S6" s="1416"/>
      <c r="T6" s="1417"/>
    </row>
    <row r="7" spans="1:20" ht="180">
      <c r="A7" s="431" t="s">
        <v>1145</v>
      </c>
      <c r="B7" s="432" t="s">
        <v>130</v>
      </c>
      <c r="C7" s="439">
        <f>+'2PORH'!E23</f>
        <v>1</v>
      </c>
      <c r="D7" s="439">
        <f>+'2PORH'!F23</f>
        <v>1</v>
      </c>
      <c r="E7" s="701">
        <f>+'2PORH'!D8</f>
        <v>1</v>
      </c>
      <c r="F7" s="785">
        <v>1</v>
      </c>
      <c r="H7" s="779" t="str">
        <f>+'2PORH'!F10</f>
        <v/>
      </c>
      <c r="I7" s="434" t="str">
        <f>+'2PORH'!E12</f>
        <v>Línea Estratégica no. 1. Sostenibilidad del recurso hídrico; Programa 1.1. Planificación, administración y gestión del recurso hídrico para la protección de los ecosistemas. Proyecto 1.1.1. Regulación y reglamentación del recurso hídrico. Actividades: 1.1.1.11.</v>
      </c>
      <c r="J7" s="780" t="str">
        <f>+'2PORH'!E13</f>
        <v xml:space="preserve">Durante el 2021, a través de Resolución 691 del 2021 se adoptaron los PORH de las ciénagas de Sabanagrande, Santo Tomás y Palmar de Varela que se formularon en el 2020
Para la vigencia 2022, se formuló el PORH Ciénaga de Malambo, la cual tenía programación de ejecución 2021. 
Para la vigencia 2023, se formuló el PORH de la Ciénaga La Bahía. </v>
      </c>
      <c r="K7" s="769" t="str">
        <f t="shared" si="0"/>
        <v/>
      </c>
      <c r="L7" s="435" t="str">
        <f t="shared" si="1"/>
        <v>Línea Estratégica no. 1. Sostenibilidad del recurso hídrico; Programa 1.1. Planificación, administración y gestión del recurso hídrico para la protección de los ecosistemas. Proyecto 1.1.1. Regulación y reglamentación del recurso hídrico. Actividades: 1.1.1.11.</v>
      </c>
      <c r="M7" s="436" t="str">
        <f t="shared" si="2"/>
        <v xml:space="preserve">Durante el 2021, a través de Resolución 691 del 2021 se adoptaron los PORH de las ciénagas de Sabanagrande, Santo Tomás y Palmar de Varela que se formularon en el 2020
Para la vigencia 2022, se formuló el PORH Ciénaga de Malambo, la cual tenía programación de ejecución 2021. 
Para la vigencia 2023, se formuló el PORH de la Ciénaga La Bahía. </v>
      </c>
      <c r="N7" s="437" t="s">
        <v>876</v>
      </c>
      <c r="O7" s="770"/>
      <c r="P7" s="769" t="str">
        <f t="shared" si="3"/>
        <v>Línea Estratégica no. 1. Sostenibilidad del recurso hídrico; Programa 1.1. Planificación, administración y gestión del recurso hídrico para la protección de los ecosistemas. Proyecto 1.1.1. Regulación y reglamentación del recurso hídrico. Actividades: 1.1.1.11.</v>
      </c>
      <c r="Q7" s="435"/>
      <c r="R7" s="436" t="str">
        <f t="shared" si="5"/>
        <v xml:space="preserve"> </v>
      </c>
      <c r="S7" s="437" t="s">
        <v>876</v>
      </c>
      <c r="T7" s="770"/>
    </row>
    <row r="8" spans="1:20" ht="288">
      <c r="A8" s="431" t="s">
        <v>1146</v>
      </c>
      <c r="B8" s="432" t="s">
        <v>161</v>
      </c>
      <c r="C8" s="438">
        <f>+'3PSMV'!E22</f>
        <v>1</v>
      </c>
      <c r="D8" s="438">
        <f>+'3PSMV'!F22</f>
        <v>1</v>
      </c>
      <c r="E8" s="438">
        <f>+'3PSMV'!D8</f>
        <v>1</v>
      </c>
      <c r="F8" s="438">
        <f>+'3PSMV'!D8</f>
        <v>1</v>
      </c>
      <c r="H8" s="779" t="str">
        <f>+'3PSMV'!F10</f>
        <v/>
      </c>
      <c r="I8" s="434" t="str">
        <f>+'3PSMV'!E12</f>
        <v>Línea Estratégica N°. 1. Sostenibilidad del recurso hídrico; Programa N° 1.2. Caracterización, cuantificación y recuperación del recurso agua como articulador de los bienes y servicios ambientales. Proyecto 1.2.3. Reducción de la contaminación del recurso hídrico</v>
      </c>
      <c r="J8" s="780" t="str">
        <f>+'3PSMV'!E13</f>
        <v>El seguimiento se realiza a los 23 municipios incluido el municipio de Barranquilla, para efectos del IMG se hace seguimiento a los PSMV que estan aprobados, los cuales corresponden a 22 municipios para la vigencia 2023.
Se adelantó seguimiento al estado de cumplimiento de los 23 municipios objeto de aplicación del plan de saneamiento y manejo de vertimientos - PSMV, de los cuales 22 se encuentran vigentes (Soledad, Galapa, Puerto Colombia, Santo Tomás, Sabanagrande, Sabanalarga, Baranoa, Tubará, Palmar de Varela, Barranquilla, Usiacurí, Campo de la Cruz, Candelaria, Santa Lucía, Piojó , Juan de Acosta, Manatí, Repelón, Luruaco, Malambo, Ponedera).</v>
      </c>
      <c r="K8" s="769" t="str">
        <f t="shared" si="0"/>
        <v/>
      </c>
      <c r="L8" s="435" t="str">
        <f t="shared" si="1"/>
        <v>Línea Estratégica N°. 1. Sostenibilidad del recurso hídrico; Programa N° 1.2. Caracterización, cuantificación y recuperación del recurso agua como articulador de los bienes y servicios ambientales. Proyecto 1.2.3. Reducción de la contaminación del recurso hídrico</v>
      </c>
      <c r="M8" s="436" t="str">
        <f t="shared" si="2"/>
        <v>El seguimiento se realiza a los 23 municipios incluido el municipio de Barranquilla, para efectos del IMG se hace seguimiento a los PSMV que estan aprobados, los cuales corresponden a 22 municipios para la vigencia 2023.
Se adelantó seguimiento al estado de cumplimiento de los 23 municipios objeto de aplicación del plan de saneamiento y manejo de vertimientos - PSMV, de los cuales 22 se encuentran vigentes (Soledad, Galapa, Puerto Colombia, Santo Tomás, Sabanagrande, Sabanalarga, Baranoa, Tubará, Palmar de Varela, Barranquilla, Usiacurí, Campo de la Cruz, Candelaria, Santa Lucía, Piojó , Juan de Acosta, Manatí, Repelón, Luruaco, Malambo, Ponedera).</v>
      </c>
      <c r="N8" s="437" t="s">
        <v>876</v>
      </c>
      <c r="O8" s="770"/>
      <c r="P8" s="769" t="str">
        <f t="shared" si="3"/>
        <v>Línea Estratégica N°. 1. Sostenibilidad del recurso hídrico; Programa N° 1.2. Caracterización, cuantificación y recuperación del recurso agua como articulador de los bienes y servicios ambientales. Proyecto 1.2.3. Reducción de la contaminación del recurso hídrico</v>
      </c>
      <c r="Q8" s="435"/>
      <c r="R8" s="436" t="str">
        <f t="shared" si="5"/>
        <v xml:space="preserve"> </v>
      </c>
      <c r="S8" s="437" t="s">
        <v>876</v>
      </c>
      <c r="T8" s="770"/>
    </row>
    <row r="9" spans="1:20" ht="96">
      <c r="A9" s="431" t="s">
        <v>1147</v>
      </c>
      <c r="B9" s="432" t="s">
        <v>182</v>
      </c>
      <c r="C9" s="438" t="str">
        <f>+'4UsoAguas'!E23</f>
        <v>N.A.</v>
      </c>
      <c r="D9" s="438" t="str">
        <f>+'4UsoAguas'!D8</f>
        <v>N.A.</v>
      </c>
      <c r="E9" s="438" t="s">
        <v>1804</v>
      </c>
      <c r="F9" s="785" t="s">
        <v>1804</v>
      </c>
      <c r="H9" s="779" t="str">
        <f>+'4UsoAguas'!F11</f>
        <v>Acuerdo 004 de 2020. Por medio del cual se aprueba y adopta el PAI-Atlántico Sostenible y Resiliente 2020 -2023</v>
      </c>
      <c r="I9" s="434">
        <f>+'4UsoAguas'!E12</f>
        <v>0</v>
      </c>
      <c r="J9" s="780" t="str">
        <f>+'4UsoAguas'!E13</f>
        <v xml:space="preserve"> El Departamento del Atlantico no tiene corrientes permanentes con excepción del Rio Magdalena.Se actualizará el índice del Uso de Agua para el Departamento del Atlántico, ya que éste fue construido en el año 2013.</v>
      </c>
      <c r="K9" s="769" t="str">
        <f t="shared" si="0"/>
        <v>Acuerdo 004 de 2020. Por medio del cual se aprueba y adopta el PAI-Atlántico Sostenible y Resiliente 2020 -2023</v>
      </c>
      <c r="L9" s="435" t="str">
        <f t="shared" si="1"/>
        <v/>
      </c>
      <c r="M9" s="436" t="str">
        <f t="shared" si="2"/>
        <v xml:space="preserve"> El Departamento del Atlantico no tiene corrientes permanentes con excepción del Rio Magdalena.Se actualizará el índice del Uso de Agua para el Departamento del Atlántico, ya que éste fue construido en el año 2013.</v>
      </c>
      <c r="N9" s="437" t="s">
        <v>876</v>
      </c>
      <c r="O9" s="770"/>
      <c r="P9" s="769" t="str">
        <f t="shared" si="3"/>
        <v/>
      </c>
      <c r="Q9" s="435"/>
      <c r="R9" s="436" t="str">
        <f t="shared" si="5"/>
        <v xml:space="preserve"> </v>
      </c>
      <c r="S9" s="437" t="s">
        <v>876</v>
      </c>
      <c r="T9" s="770"/>
    </row>
    <row r="10" spans="1:20" ht="108">
      <c r="A10" s="431" t="s">
        <v>1148</v>
      </c>
      <c r="B10" s="432" t="s">
        <v>199</v>
      </c>
      <c r="C10" s="438">
        <f>+'5PUEAA'!E22</f>
        <v>1</v>
      </c>
      <c r="D10" s="438">
        <f>+'5PUEAA'!F22</f>
        <v>1</v>
      </c>
      <c r="E10" s="438">
        <f>+'5PUEAA'!D8</f>
        <v>0.5</v>
      </c>
      <c r="F10" s="438">
        <f>+'5PUEAA'!D8</f>
        <v>0.5</v>
      </c>
      <c r="H10" s="779" t="str">
        <f>+'5PUEAA'!F10</f>
        <v/>
      </c>
      <c r="I10" s="434" t="str">
        <f>+'5PUEAA'!E12</f>
        <v>Línea Estratégica N°. 1. Sostenibilidad del recurso hídrico; Programa N° 1.2. Caracterización, cuantificación y recuperación del recurso agua como articulador de los bienes y servicios ambientales. Proyecto 1.2.1. Uso eficiente y sostenible del agua. Actividad 1.2.1.2</v>
      </c>
      <c r="J10" s="780">
        <f>+'5PUEAA'!E13</f>
        <v>0</v>
      </c>
      <c r="K10" s="769" t="str">
        <f t="shared" si="0"/>
        <v/>
      </c>
      <c r="L10" s="435" t="str">
        <f t="shared" si="1"/>
        <v>Línea Estratégica N°. 1. Sostenibilidad del recurso hídrico; Programa N° 1.2. Caracterización, cuantificación y recuperación del recurso agua como articulador de los bienes y servicios ambientales. Proyecto 1.2.1. Uso eficiente y sostenible del agua. Actividad 1.2.1.2</v>
      </c>
      <c r="M10" s="436" t="str">
        <f t="shared" si="2"/>
        <v/>
      </c>
      <c r="N10" s="437" t="s">
        <v>876</v>
      </c>
      <c r="O10" s="770"/>
      <c r="P10" s="769" t="str">
        <f t="shared" si="3"/>
        <v>Línea Estratégica N°. 1. Sostenibilidad del recurso hídrico; Programa N° 1.2. Caracterización, cuantificación y recuperación del recurso agua como articulador de los bienes y servicios ambientales. Proyecto 1.2.1. Uso eficiente y sostenible del agua. Actividad 1.2.1.2</v>
      </c>
      <c r="Q10" s="435"/>
      <c r="R10" s="436" t="str">
        <f t="shared" si="5"/>
        <v xml:space="preserve"> </v>
      </c>
      <c r="S10" s="437" t="s">
        <v>876</v>
      </c>
      <c r="T10" s="770"/>
    </row>
    <row r="11" spans="1:20" ht="120">
      <c r="A11" s="431" t="s">
        <v>1149</v>
      </c>
      <c r="B11" s="432" t="s">
        <v>219</v>
      </c>
      <c r="C11" s="438" t="str">
        <f>+'6POMCASejec'!E27</f>
        <v>N.A.</v>
      </c>
      <c r="D11" s="438">
        <f>+'6POMCASejec'!F27</f>
        <v>1</v>
      </c>
      <c r="E11" s="438">
        <f>+'6POMCASejec'!D8</f>
        <v>1</v>
      </c>
      <c r="F11" s="438">
        <f>+'6POMCASejec'!D8</f>
        <v>1</v>
      </c>
      <c r="H11" s="779" t="str">
        <f>+'6POMCASejec'!F10</f>
        <v/>
      </c>
      <c r="I11" s="434" t="str">
        <f>+'6POMCASejec'!E12</f>
        <v>Línea Estratégica N°. 1. Sostenibilidad del recurso hídrico; Programa N° 1.1. Planificación, administración y gestión del recurso hídrico para la protección de los ecosistemas. Proyecto 1.1.1 regulación y reglamentación del recurso hídrico. Actividad 1.1.1.3., 1.1.1.4., 1.1.1.5 y 1.1.2.2.</v>
      </c>
      <c r="J11" s="780" t="str">
        <f>+'6POMCASejec'!E13</f>
        <v>Mediante acuerdo de consejo directivo de agosto de 2022 (Acuerdo No. 11) se ajustaron las acciones estrategicas 1.1.1.3 - 1.1.1.4 - 1.1.1.5- 1.1.2.2</v>
      </c>
      <c r="K11" s="769" t="str">
        <f t="shared" si="0"/>
        <v/>
      </c>
      <c r="L11" s="435" t="str">
        <f t="shared" si="1"/>
        <v>Línea Estratégica N°. 1. Sostenibilidad del recurso hídrico; Programa N° 1.1. Planificación, administración y gestión del recurso hídrico para la protección de los ecosistemas. Proyecto 1.1.1 regulación y reglamentación del recurso hídrico. Actividad 1.1.1.3., 1.1.1.4., 1.1.1.5 y 1.1.2.2.</v>
      </c>
      <c r="M11" s="436" t="str">
        <f t="shared" si="2"/>
        <v>Mediante acuerdo de consejo directivo de agosto de 2022 (Acuerdo No. 11) se ajustaron las acciones estrategicas 1.1.1.3 - 1.1.1.4 - 1.1.1.5- 1.1.2.2</v>
      </c>
      <c r="N11" s="437" t="s">
        <v>876</v>
      </c>
      <c r="O11" s="770"/>
      <c r="P11" s="769" t="str">
        <f t="shared" si="3"/>
        <v>Línea Estratégica N°. 1. Sostenibilidad del recurso hídrico; Programa N° 1.1. Planificación, administración y gestión del recurso hídrico para la protección de los ecosistemas. Proyecto 1.1.1 regulación y reglamentación del recurso hídrico. Actividad 1.1.1.3., 1.1.1.4., 1.1.1.5 y 1.1.2.2.</v>
      </c>
      <c r="Q11" s="435"/>
      <c r="R11" s="436" t="str">
        <f t="shared" si="5"/>
        <v xml:space="preserve"> </v>
      </c>
      <c r="S11" s="437" t="s">
        <v>876</v>
      </c>
      <c r="T11" s="770"/>
    </row>
    <row r="12" spans="1:20" ht="145.19999999999999" customHeight="1">
      <c r="A12" s="431" t="s">
        <v>1150</v>
      </c>
      <c r="B12" s="432" t="s">
        <v>279</v>
      </c>
      <c r="C12" s="438">
        <f>+'7Clima'!E19</f>
        <v>1</v>
      </c>
      <c r="D12" s="438">
        <f>+'7Clima'!F19</f>
        <v>1</v>
      </c>
      <c r="E12" s="438">
        <f>+'7Clima'!D8</f>
        <v>1</v>
      </c>
      <c r="F12" s="438">
        <f>+'7Clima'!D8</f>
        <v>1</v>
      </c>
      <c r="H12" s="779" t="str">
        <f>+'7Clima'!F10</f>
        <v/>
      </c>
      <c r="I12" s="434" t="str">
        <f>+'7Clima'!E12</f>
        <v>Programa 4.6 - COMUNIDADES Y TERRITORIOS CON CONOCIMIENTO Y ADAPTACIÓN A LA GESTIÓN DEL RIESGO
Proyecto: 4.6.1: Conocimiento y adaptación a la Gestión del Riesgo
A.E- 4.6.1.3. Promover asesorías para el conocimiento y reducción del riesgo de desastres e incorporación de la gestión del riesgo en el ordenamiento territorial de los municipios</v>
      </c>
      <c r="J12" s="780" t="str">
        <f>+'7Clima'!E13</f>
        <v>Con las actividades desarrolladas para asesorar a los municipios del departamento del Atlántico en lo que corresponde a la incorporación del componente de gestión de riesgos a sus instrumentos de planificación, podemos indicar que al 31 de diciembre de 2023 la meta presenta se cumplió en el 100% de municipios asesorados.</v>
      </c>
      <c r="K12" s="769" t="str">
        <f t="shared" si="0"/>
        <v/>
      </c>
      <c r="L12" s="435" t="str">
        <f t="shared" si="1"/>
        <v>Programa 4.6 - COMUNIDADES Y TERRITORIOS CON CONOCIMIENTO Y ADAPTACIÓN A LA GESTIÓN DEL RIESGO
Proyecto: 4.6.1: Conocimiento y adaptación a la Gestión del Riesgo
A.E- 4.6.1.3. Promover asesorías para el conocimiento y reducción del riesgo de desastres e incorporación de la gestión del riesgo en el ordenamiento territorial de los municipios</v>
      </c>
      <c r="M12" s="436" t="str">
        <f t="shared" si="2"/>
        <v>Con las actividades desarrolladas para asesorar a los municipios del departamento del Atlántico en lo que corresponde a la incorporación del componente de gestión de riesgos a sus instrumentos de planificación, podemos indicar que al 31 de diciembre de 2023 la meta presenta se cumplió en el 100% de municipios asesorados.</v>
      </c>
      <c r="N12" s="437" t="s">
        <v>876</v>
      </c>
      <c r="O12" s="770"/>
      <c r="P12" s="769" t="str">
        <f t="shared" si="3"/>
        <v>Programa 4.6 - COMUNIDADES Y TERRITORIOS CON CONOCIMIENTO Y ADAPTACIÓN A LA GESTIÓN DEL RIESGO
Proyecto: 4.6.1: Conocimiento y adaptación a la Gestión del Riesgo
A.E- 4.6.1.3. Promover asesorías para el conocimiento y reducción del riesgo de desastres e incorporación de la gestión del riesgo en el ordenamiento territorial de los municipios</v>
      </c>
      <c r="Q12" s="435"/>
      <c r="R12" s="436" t="str">
        <f t="shared" si="5"/>
        <v xml:space="preserve"> </v>
      </c>
      <c r="S12" s="437" t="s">
        <v>876</v>
      </c>
      <c r="T12" s="770"/>
    </row>
    <row r="13" spans="1:20" ht="260.39999999999998" customHeight="1">
      <c r="A13" s="431" t="s">
        <v>1151</v>
      </c>
      <c r="B13" s="432" t="s">
        <v>313</v>
      </c>
      <c r="C13" s="438" t="str">
        <f>+'8Suelo'!E19</f>
        <v>N.A.</v>
      </c>
      <c r="D13" s="438" t="str">
        <f>+'8Suelo'!F19</f>
        <v>N.A.</v>
      </c>
      <c r="E13" s="438">
        <f>+'8Suelo'!D8</f>
        <v>1</v>
      </c>
      <c r="F13" s="438">
        <f>+'8Suelo'!D8</f>
        <v>1</v>
      </c>
      <c r="H13" s="779" t="str">
        <f>+'8Suelo'!F11</f>
        <v>Acuerdo 004 de 2020. Por medio del cual se aprueba y adopta el PAI-Atlántico Sostenible y Resiliente 2020 -2023</v>
      </c>
      <c r="I13" s="434">
        <f>+'8Suelo'!E12</f>
        <v>0</v>
      </c>
      <c r="J13" s="780" t="str">
        <f>+'8Suelo'!E13</f>
        <v xml:space="preserve">Teniendo en cuenta el Plan de Acción Institucional 2020-2023, la meta está contemplada para cumplirse en las vigencias 2022 y 2023 (Acuerdo de aprobación del Consejo Directivo N°004 del 20 de mayo de 2020) ; a traves del programa:
Programa 2.1- BIODIVERSIDAD Y RIQUEZAS DE LOS ESCOSISTEMAS TERRESTRES
Proyecto: 2.1.1 Desarrollo Forestal Sostenile
2.1.1.1 Implementar el Plan de Acción Regional de Lucha contra la Desertificación y la Sequia que contribuya a la restauración de ecosistemas en zonas secas
2.1.1.5 Implementar un programa de conservación de suelos y promoción de sistemas sostenibles de producción
</v>
      </c>
      <c r="K13" s="769" t="str">
        <f t="shared" si="0"/>
        <v>Acuerdo 004 de 2020. Por medio del cual se aprueba y adopta el PAI-Atlántico Sostenible y Resiliente 2020 -2023</v>
      </c>
      <c r="L13" s="435" t="str">
        <f t="shared" si="1"/>
        <v/>
      </c>
      <c r="M13" s="436" t="str">
        <f t="shared" si="2"/>
        <v xml:space="preserve">Teniendo en cuenta el Plan de Acción Institucional 2020-2023, la meta está contemplada para cumplirse en las vigencias 2022 y 2023 (Acuerdo de aprobación del Consejo Directivo N°004 del 20 de mayo de 2020) ; a traves del programa:
Programa 2.1- BIODIVERSIDAD Y RIQUEZAS DE LOS ESCOSISTEMAS TERRESTRES
Proyecto: 2.1.1 Desarrollo Forestal Sostenile
2.1.1.1 Implementar el Plan de Acción Regional de Lucha contra la Desertificación y la Sequia que contribuya a la restauración de ecosistemas en zonas secas
2.1.1.5 Implementar un programa de conservación de suelos y promoción de sistemas sostenibles de producción
</v>
      </c>
      <c r="N13" s="437" t="s">
        <v>876</v>
      </c>
      <c r="O13" s="770"/>
      <c r="P13" s="769" t="str">
        <f t="shared" si="3"/>
        <v/>
      </c>
      <c r="Q13" s="435"/>
      <c r="R13" s="436" t="str">
        <f t="shared" si="5"/>
        <v xml:space="preserve"> </v>
      </c>
      <c r="S13" s="437" t="s">
        <v>876</v>
      </c>
      <c r="T13" s="770"/>
    </row>
    <row r="14" spans="1:20" ht="409.6">
      <c r="A14" s="431" t="s">
        <v>1152</v>
      </c>
      <c r="B14" s="432" t="s">
        <v>347</v>
      </c>
      <c r="C14" s="438" t="str">
        <f>+'9RUNAP'!E85</f>
        <v>N.A.</v>
      </c>
      <c r="D14" s="438" t="str">
        <f>+'9RUNAP'!F85</f>
        <v>N.A.</v>
      </c>
      <c r="E14" s="438">
        <f>+'9RUNAP'!D9</f>
        <v>0</v>
      </c>
      <c r="F14" s="785">
        <f>+'9RUNAP'!D9</f>
        <v>0</v>
      </c>
      <c r="H14" s="779" t="str">
        <f>+'9RUNAP'!F12</f>
        <v>Acuerdo 004 de 2020. Por medio del cual se aprueba y adopta el PAI-Atlántico Sostenible y Resiliente 2020 -2023</v>
      </c>
      <c r="I14" s="434" t="str">
        <f>+'9RUNAP'!E13</f>
        <v>Teniendo en cuenta el Plan de Acción Institucional 2020-2023, la meta está contemplada para cumplirse en la vigencia 2023 (Acuerdo de aprobación del Consejo Directivo N°004 del 20 de mayo de 2020), mediante el programa:
Programa 2.3- Estrategias Regionales de Conservación
Proyecto 2.3.1: Areas Protegidas
2.3.1.5. Declarar nuevas Áreas Protegidas en el Departamento con registro ante el RUNAP</v>
      </c>
      <c r="J14" s="780" t="str">
        <f>+'9RUNAP'!E14</f>
        <v>Con la ejecución del Convenio No. 001 de 2023 cuyo objeto es “DESARROLLO CONJUNTO DE ESTRATEGIAS DE EDUCACIÓN AMBIENTAL EN RELACIÓN CON LA CONSERVACIÓN DE LA BIODIVERSIDAD EN EL DEPARTAMENTO DEL ATLÁNTICO Y PROMOVER UN PROGRAMA DE CONSERVACIÓN DE ESPECIES DE FAUNA Y FLORA SILVESTRE CON ALGÚN RANGO DE AMENAZA CON LA PARTICIPACIÓN DE LAS COMUNIDADES LOCALES” 
Dentro de las actividades planteadas en el proyecto se encuentra declarar nuevas áreas protegidas en el departamento con registro ante el RUNAP, para ello se realizó la elaboración de un documento que presente una caracterización de la zona con información detallada en los aspectos climáticos, bióticos, abióticos, sociales, productivos, económicos y jurídicos elaborando la línea base relacionada con las problemáticas, restricciones y potencialidades del Cerro la Vieja.
Se realizó la convocatoria e inscripción de 50 miembros de la comunidad del municipio de Piojó para el proceso de la ruta crítica para la declaratoria del área potencial de reserva El Cerro la Vieja ubicada en el municipio de Piojó-Atlántico.</v>
      </c>
      <c r="K14" s="769" t="str">
        <f t="shared" si="0"/>
        <v>Acuerdo 004 de 2020. Por medio del cual se aprueba y adopta el PAI-Atlántico Sostenible y Resiliente 2020 -2023</v>
      </c>
      <c r="L14" s="435" t="str">
        <f t="shared" si="1"/>
        <v>Teniendo en cuenta el Plan de Acción Institucional 2020-2023, la meta está contemplada para cumplirse en la vigencia 2023 (Acuerdo de aprobación del Consejo Directivo N°004 del 20 de mayo de 2020), mediante el programa:
Programa 2.3- Estrategias Regionales de Conservación
Proyecto 2.3.1: Areas Protegidas
2.3.1.5. Declarar nuevas Áreas Protegidas en el Departamento con registro ante el RUNAP</v>
      </c>
      <c r="M14" s="436" t="str">
        <f t="shared" si="2"/>
        <v>Con la ejecución del Convenio No. 001 de 2023 cuyo objeto es “DESARROLLO CONJUNTO DE ESTRATEGIAS DE EDUCACIÓN AMBIENTAL EN RELACIÓN CON LA CONSERVACIÓN DE LA BIODIVERSIDAD EN EL DEPARTAMENTO DEL ATLÁNTICO Y PROMOVER UN PROGRAMA DE CONSERVACIÓN DE ESPECIES DE FAUNA Y FLORA SILVESTRE CON ALGÚN RANGO DE AMENAZA CON LA PARTICIPACIÓN DE LAS COMUNIDADES LOCALES” 
Dentro de las actividades planteadas en el proyecto se encuentra declarar nuevas áreas protegidas en el departamento con registro ante el RUNAP, para ello se realizó la elaboración de un documento que presente una caracterización de la zona con información detallada en los aspectos climáticos, bióticos, abióticos, sociales, productivos, económicos y jurídicos elaborando la línea base relacionada con las problemáticas, restricciones y potencialidades del Cerro la Vieja.
Se realizó la convocatoria e inscripción de 50 miembros de la comunidad del municipio de Piojó para el proceso de la ruta crítica para la declaratoria del área potencial de reserva El Cerro la Vieja ubicada en el municipio de Piojó-Atlántico.</v>
      </c>
      <c r="N14" s="437" t="s">
        <v>876</v>
      </c>
      <c r="O14" s="770"/>
      <c r="P14" s="769" t="str">
        <f t="shared" si="3"/>
        <v>Teniendo en cuenta el Plan de Acción Institucional 2020-2023, la meta está contemplada para cumplirse en la vigencia 2023 (Acuerdo de aprobación del Consejo Directivo N°004 del 20 de mayo de 2020), mediante el programa:
Programa 2.3- Estrategias Regionales de Conservación
Proyecto 2.3.1: Areas Protegidas
2.3.1.5. Declarar nuevas Áreas Protegidas en el Departamento con registro ante el RUNAP</v>
      </c>
      <c r="Q14" s="435"/>
      <c r="R14" s="436" t="str">
        <f t="shared" si="5"/>
        <v xml:space="preserve"> </v>
      </c>
      <c r="S14" s="437" t="s">
        <v>876</v>
      </c>
      <c r="T14" s="770"/>
    </row>
    <row r="15" spans="1:20" ht="84">
      <c r="A15" s="431" t="s">
        <v>1153</v>
      </c>
      <c r="B15" s="432" t="s">
        <v>395</v>
      </c>
      <c r="C15" s="438" t="str">
        <f>+'10Paramos'!F20</f>
        <v>N.A.</v>
      </c>
      <c r="D15" s="438" t="str">
        <f>+'10Paramos'!G20</f>
        <v>N.A.</v>
      </c>
      <c r="E15" s="438" t="str">
        <f>'10Paramos'!D8</f>
        <v>NO APLICA</v>
      </c>
      <c r="F15" s="438" t="str">
        <f>'10Paramos'!D8</f>
        <v>NO APLICA</v>
      </c>
      <c r="H15" s="779" t="str">
        <f>+'11Forest'!F11</f>
        <v>Acuerdo 004 de 2020. Por medio del cual se aprueba y adopta el PAI-Atlántico Sostenible y Resiliente 2020 -2023</v>
      </c>
      <c r="I15" s="434">
        <f>'10Paramos'!E12</f>
        <v>0</v>
      </c>
      <c r="J15" s="780" t="str">
        <f>'10Paramos'!E13</f>
        <v>NO APLICA PARA LA JURISDICCIÓN DE LA CRA.</v>
      </c>
      <c r="K15" s="769" t="str">
        <f t="shared" si="0"/>
        <v>Acuerdo 004 de 2020. Por medio del cual se aprueba y adopta el PAI-Atlántico Sostenible y Resiliente 2020 -2023</v>
      </c>
      <c r="L15" s="435" t="str">
        <f t="shared" si="1"/>
        <v/>
      </c>
      <c r="M15" s="436" t="str">
        <f t="shared" si="2"/>
        <v>NO APLICA PARA LA JURISDICCIÓN DE LA CRA.</v>
      </c>
      <c r="N15" s="437" t="s">
        <v>876</v>
      </c>
      <c r="O15" s="770"/>
      <c r="P15" s="769" t="str">
        <f t="shared" si="3"/>
        <v/>
      </c>
      <c r="Q15" s="435"/>
      <c r="R15" s="436" t="str">
        <f t="shared" si="5"/>
        <v xml:space="preserve"> </v>
      </c>
      <c r="S15" s="437" t="s">
        <v>876</v>
      </c>
      <c r="T15" s="770"/>
    </row>
    <row r="16" spans="1:20" ht="108">
      <c r="A16" s="431" t="s">
        <v>1154</v>
      </c>
      <c r="B16" s="432" t="s">
        <v>417</v>
      </c>
      <c r="C16" s="438" t="e">
        <f>+'11Forest'!M34</f>
        <v>#DIV/0!</v>
      </c>
      <c r="D16" s="439" t="s">
        <v>1805</v>
      </c>
      <c r="E16" s="439" t="str">
        <f>+'11Forest'!D8</f>
        <v>SIN INFORMACION</v>
      </c>
      <c r="F16" s="439" t="str">
        <f>+'11Forest'!D8</f>
        <v>SIN INFORMACION</v>
      </c>
      <c r="H16" s="779" t="str">
        <f>+'11Forest'!F11</f>
        <v>Acuerdo 004 de 2020. Por medio del cual se aprueba y adopta el PAI-Atlántico Sostenible y Resiliente 2020 -2023</v>
      </c>
      <c r="I16" s="434">
        <f>+'11Forest'!E12</f>
        <v>0</v>
      </c>
      <c r="J16" s="780" t="str">
        <f>+'11Forest'!E13</f>
        <v>El Plan de Ordenamiento Forestal fue adoptado a través de la Resolución No.859 del 2018 de la C.R.A., se contempló actualizar el mismo para la vigencia 2022.(Acuerdo de aprobación del Consejo Directivo N°004 del 20 de mayo de 2020)</v>
      </c>
      <c r="K16" s="769" t="str">
        <f t="shared" si="0"/>
        <v>Acuerdo 004 de 2020. Por medio del cual se aprueba y adopta el PAI-Atlántico Sostenible y Resiliente 2020 -2023</v>
      </c>
      <c r="L16" s="435" t="str">
        <f t="shared" si="1"/>
        <v/>
      </c>
      <c r="M16" s="436" t="str">
        <f t="shared" si="2"/>
        <v>El Plan de Ordenamiento Forestal fue adoptado a través de la Resolución No.859 del 2018 de la C.R.A., se contempló actualizar el mismo para la vigencia 2022.(Acuerdo de aprobación del Consejo Directivo N°004 del 20 de mayo de 2020)</v>
      </c>
      <c r="N16" s="437" t="s">
        <v>876</v>
      </c>
      <c r="O16" s="770"/>
      <c r="P16" s="769" t="str">
        <f t="shared" si="3"/>
        <v/>
      </c>
      <c r="Q16" s="435"/>
      <c r="R16" s="436" t="str">
        <f t="shared" si="5"/>
        <v xml:space="preserve"> </v>
      </c>
      <c r="S16" s="437" t="s">
        <v>876</v>
      </c>
      <c r="T16" s="770"/>
    </row>
    <row r="17" spans="1:20" ht="108">
      <c r="A17" s="431" t="s">
        <v>1155</v>
      </c>
      <c r="B17" s="432" t="s">
        <v>448</v>
      </c>
      <c r="C17" s="438">
        <v>1</v>
      </c>
      <c r="D17" s="438">
        <v>1</v>
      </c>
      <c r="E17" s="438">
        <f>+'12PlanesAP'!D8</f>
        <v>1</v>
      </c>
      <c r="F17" s="438">
        <f>+'12PlanesAP'!D8</f>
        <v>1</v>
      </c>
      <c r="H17" s="779" t="str">
        <f>+'12PlanesAP'!F10</f>
        <v/>
      </c>
      <c r="I17" s="434" t="str">
        <f>+'12PlanesAP'!E12</f>
        <v>Línea estratégica N°. 2. Sostenibilidad del recurso natural; Programa N° 2.3. Estrategias regionales de conservación. Proyecto 2.3.1. Áreas protegidas
Acciones Estrategicas: 2.3.1.2 - 2.3.1.6 - 2.3.1.7 - 2.3.1.8- 2.3.1.9 - 2.3.1.10</v>
      </c>
      <c r="J17" s="780">
        <f>+'12PlanesAP'!E13</f>
        <v>0</v>
      </c>
      <c r="K17" s="769" t="str">
        <f t="shared" si="0"/>
        <v/>
      </c>
      <c r="L17" s="435" t="str">
        <f t="shared" si="1"/>
        <v>Línea estratégica N°. 2. Sostenibilidad del recurso natural; Programa N° 2.3. Estrategias regionales de conservación. Proyecto 2.3.1. Áreas protegidas
Acciones Estrategicas: 2.3.1.2 - 2.3.1.6 - 2.3.1.7 - 2.3.1.8- 2.3.1.9 - 2.3.1.10</v>
      </c>
      <c r="M17" s="436" t="str">
        <f t="shared" si="2"/>
        <v/>
      </c>
      <c r="N17" s="437" t="s">
        <v>876</v>
      </c>
      <c r="O17" s="770"/>
      <c r="P17" s="769" t="str">
        <f t="shared" si="3"/>
        <v>Línea estratégica N°. 2. Sostenibilidad del recurso natural; Programa N° 2.3. Estrategias regionales de conservación. Proyecto 2.3.1. Áreas protegidas
Acciones Estrategicas: 2.3.1.2 - 2.3.1.6 - 2.3.1.7 - 2.3.1.8- 2.3.1.9 - 2.3.1.10</v>
      </c>
      <c r="Q17" s="435"/>
      <c r="R17" s="436" t="str">
        <f t="shared" si="5"/>
        <v xml:space="preserve"> </v>
      </c>
      <c r="S17" s="437" t="s">
        <v>876</v>
      </c>
      <c r="T17" s="770"/>
    </row>
    <row r="18" spans="1:20" ht="284.39999999999998" customHeight="1">
      <c r="A18" s="431" t="s">
        <v>1156</v>
      </c>
      <c r="B18" s="432" t="s">
        <v>479</v>
      </c>
      <c r="C18" s="438" t="s">
        <v>1804</v>
      </c>
      <c r="D18" s="438" t="s">
        <v>1804</v>
      </c>
      <c r="E18" s="438">
        <f>+'13Amenaz'!D8</f>
        <v>1</v>
      </c>
      <c r="F18" s="785">
        <f>+'13Amenaz'!D8</f>
        <v>1</v>
      </c>
      <c r="H18" s="779" t="str">
        <f>+'13Amenaz'!F10</f>
        <v/>
      </c>
      <c r="I18" s="434" t="str">
        <f>+'13Amenaz'!E12</f>
        <v>Línea estratégica N°. 2. Sostenibilidad del recurso natural; Programa N° 2 1. Gestión de especies. Proyecto 2.1.2. Gestión de especies. Actividad 2.1.2.3 - 2.1.2.5.</v>
      </c>
      <c r="J18" s="780" t="str">
        <f>+'13Amenaz'!E13</f>
        <v xml:space="preserve"> Según la priorización de las especies amenazadas en la jurisdicción, reportada de acuerdo  a Resolución No. 0346 del 24 de Marzo 2022 se tiene: 
Fauna Continental
• Oso hormiguero  (Myrmecophaga tridactyla)
• Mono nocturno (Aotus griseimembra)
• Chavarrí (Chauna chavaria)
• Colibrí ventrizafiro (Chrysuronia lilliae)
• Garza rojiza (Egretta rufescens)  
• Chamón caribeño (Molothrus aeneus)  
• Morrocoy (Chelonoidis carbonarius)
• Reinita celulea (Setophaga cerúlea)
 Fauna Marina
• Cocodrilo americano (Crocodylus acutus)
• Tortuga del río Magdalena (Podocnemis lewyana)
Flora Continental
• Carreto (Aspidosperma  polyneuron)  
• Ceiba roja (Pachira quinata) 
• Cedro (Cedrela odorata) 
• Guayacan (Bulnesia arborea)
• Guayacan de cartagena (Guaiacum officinale)
</v>
      </c>
      <c r="K18" s="769" t="str">
        <f t="shared" si="0"/>
        <v/>
      </c>
      <c r="L18" s="435" t="str">
        <f t="shared" si="1"/>
        <v>Línea estratégica N°. 2. Sostenibilidad del recurso natural; Programa N° 2 1. Gestión de especies. Proyecto 2.1.2. Gestión de especies. Actividad 2.1.2.3 - 2.1.2.5.</v>
      </c>
      <c r="M18" s="436" t="str">
        <f t="shared" si="2"/>
        <v xml:space="preserve"> Según la priorización de las especies amenazadas en la jurisdicción, reportada de acuerdo  a Resolución No. 0346 del 24 de Marzo 2022 se tiene: 
Fauna Continental
• Oso hormiguero  (Myrmecophaga tridactyla)
• Mono nocturno (Aotus griseimembra)
• Chavarrí (Chauna chavaria)
• Colibrí ventrizafiro (Chrysuronia lilliae)
• Garza rojiza (Egretta rufescens)  
• Chamón caribeño (Molothrus aeneus)  
• Morrocoy (Chelonoidis carbonarius)
• Reinita celulea (Setophaga cerúlea)
 Fauna Marina
• Cocodrilo americano (Crocodylus acutus)
• Tortuga del río Magdalena (Podocnemis lewyana)
Flora Continental
• Carreto (Aspidosperma  polyneuron)  
• Ceiba roja (Pachira quinata) 
• Cedro (Cedrela odorata) 
• Guayacan (Bulnesia arborea)
• Guayacan de cartagena (Guaiacum officinale)
</v>
      </c>
      <c r="N18" s="437" t="s">
        <v>876</v>
      </c>
      <c r="O18" s="770"/>
      <c r="P18" s="769" t="str">
        <f t="shared" si="3"/>
        <v>Línea estratégica N°. 2. Sostenibilidad del recurso natural; Programa N° 2 1. Gestión de especies. Proyecto 2.1.2. Gestión de especies. Actividad 2.1.2.3 - 2.1.2.5.</v>
      </c>
      <c r="Q18" s="435"/>
      <c r="R18" s="436" t="str">
        <f t="shared" si="5"/>
        <v xml:space="preserve"> </v>
      </c>
      <c r="S18" s="437" t="s">
        <v>876</v>
      </c>
      <c r="T18" s="770"/>
    </row>
    <row r="19" spans="1:20" ht="312">
      <c r="A19" s="431" t="s">
        <v>1157</v>
      </c>
      <c r="B19" s="432" t="s">
        <v>525</v>
      </c>
      <c r="C19" s="438" t="s">
        <v>1805</v>
      </c>
      <c r="D19" s="438">
        <v>1</v>
      </c>
      <c r="E19" s="438">
        <f>+'14Invasor'!D8</f>
        <v>1</v>
      </c>
      <c r="F19" s="438">
        <f>+'14Invasor'!D8</f>
        <v>1</v>
      </c>
      <c r="H19" s="779" t="str">
        <f>+'14Invasor'!F10</f>
        <v/>
      </c>
      <c r="I19" s="434" t="str">
        <f>+'14Invasor'!E12</f>
        <v>Línea estratégica N°. 2. Sostenibilidad del recurso natural; Programa N° 2 1. Gestión de especies. Proyecto 2.1.2. Gestión de especies. Actividad 2.1.2.2</v>
      </c>
      <c r="J19" s="780" t="str">
        <f>+'14Invasor'!E13</f>
        <v xml:space="preserve">Según la priorización de las 6 especies invasoras reportada de acuerdo  a Resolución No. 0346 del 24 de Marzo 2022, la corporación determinó realizar medidas de prevención, control y manejo a 2 de ellas, para lo cual se realizó en su totalidad a estas 2, cumpliendo 100% a la meta establecida en el PAI 2020-2023.
Estas 6 especies son: 
Flora continental:
• Buchon (Eichornia crassipes)
Fauna continental:
• Caracol Gigante Africano (Achatina áulica); 
• Rana Coqui (Eleutherodactylus coquí),
Fauna Marina:
• Camarón de Asia (Penaeus monodon);
• Tilapia negra (Oreochromis mossaambicus);
• Pez Leon (Pterois volitans) 
</v>
      </c>
      <c r="K19" s="769" t="str">
        <f t="shared" si="0"/>
        <v/>
      </c>
      <c r="L19" s="435" t="str">
        <f t="shared" si="1"/>
        <v>Línea estratégica N°. 2. Sostenibilidad del recurso natural; Programa N° 2 1. Gestión de especies. Proyecto 2.1.2. Gestión de especies. Actividad 2.1.2.2</v>
      </c>
      <c r="M19" s="436" t="str">
        <f t="shared" si="2"/>
        <v xml:space="preserve">Según la priorización de las 6 especies invasoras reportada de acuerdo  a Resolución No. 0346 del 24 de Marzo 2022, la corporación determinó realizar medidas de prevención, control y manejo a 2 de ellas, para lo cual se realizó en su totalidad a estas 2, cumpliendo 100% a la meta establecida en el PAI 2020-2023.
Estas 6 especies son: 
Flora continental:
• Buchon (Eichornia crassipes)
Fauna continental:
• Caracol Gigante Africano (Achatina áulica); 
• Rana Coqui (Eleutherodactylus coquí),
Fauna Marina:
• Camarón de Asia (Penaeus monodon);
• Tilapia negra (Oreochromis mossaambicus);
• Pez Leon (Pterois volitans) 
</v>
      </c>
      <c r="N19" s="437" t="s">
        <v>876</v>
      </c>
      <c r="O19" s="770"/>
      <c r="P19" s="769" t="str">
        <f t="shared" si="3"/>
        <v>Línea estratégica N°. 2. Sostenibilidad del recurso natural; Programa N° 2 1. Gestión de especies. Proyecto 2.1.2. Gestión de especies. Actividad 2.1.2.2</v>
      </c>
      <c r="Q19" s="435"/>
      <c r="R19" s="436" t="str">
        <f t="shared" si="5"/>
        <v xml:space="preserve"> </v>
      </c>
      <c r="S19" s="437" t="s">
        <v>876</v>
      </c>
      <c r="T19" s="770"/>
    </row>
    <row r="20" spans="1:20" ht="84">
      <c r="A20" s="431" t="s">
        <v>1158</v>
      </c>
      <c r="B20" s="432" t="s">
        <v>556</v>
      </c>
      <c r="C20" s="438" t="e">
        <f>+'15Restaura'!E22</f>
        <v>#DIV/0!</v>
      </c>
      <c r="D20" s="439" t="s">
        <v>1805</v>
      </c>
      <c r="E20" s="438">
        <v>1</v>
      </c>
      <c r="F20" s="438">
        <f>+'15Restaura'!D8</f>
        <v>0.68571428571428572</v>
      </c>
      <c r="H20" s="779" t="str">
        <f>+'15Restaura'!F11</f>
        <v>Acuerdo 004 de 2020. Por medio del cual se aprueba y adopta el PAI-Atlántico Sostenible y Resiliente 2020 -2023</v>
      </c>
      <c r="I20" s="434">
        <f>+'15Restaura'!E12</f>
        <v>0</v>
      </c>
      <c r="J20" s="780" t="str">
        <f>+'15Restaura'!E13</f>
        <v>Se programó la meta para avance en la vigencia 2022 y cumplimiento en la vigencia 2023, mediante el Programa 2.3 - Proyecto 2.3.1 - Acción Estrategica 2.3.1.3</v>
      </c>
      <c r="K20" s="769" t="str">
        <f t="shared" si="0"/>
        <v>Acuerdo 004 de 2020. Por medio del cual se aprueba y adopta el PAI-Atlántico Sostenible y Resiliente 2020 -2023</v>
      </c>
      <c r="L20" s="435" t="str">
        <f t="shared" si="1"/>
        <v/>
      </c>
      <c r="M20" s="436" t="str">
        <f t="shared" si="2"/>
        <v>Se programó la meta para avance en la vigencia 2022 y cumplimiento en la vigencia 2023, mediante el Programa 2.3 - Proyecto 2.3.1 - Acción Estrategica 2.3.1.3</v>
      </c>
      <c r="N20" s="437" t="s">
        <v>876</v>
      </c>
      <c r="O20" s="770"/>
      <c r="P20" s="769" t="str">
        <f t="shared" si="3"/>
        <v/>
      </c>
      <c r="Q20" s="435"/>
      <c r="R20" s="436" t="str">
        <f t="shared" si="5"/>
        <v xml:space="preserve"> </v>
      </c>
      <c r="S20" s="437" t="s">
        <v>876</v>
      </c>
      <c r="T20" s="770"/>
    </row>
    <row r="21" spans="1:20" ht="120">
      <c r="A21" s="431" t="s">
        <v>1159</v>
      </c>
      <c r="B21" s="432" t="s">
        <v>584</v>
      </c>
      <c r="C21" s="438">
        <v>0.9</v>
      </c>
      <c r="D21" s="438">
        <v>0.9</v>
      </c>
      <c r="E21" s="438">
        <f>+'16MIZC'!D8</f>
        <v>0.99999999999999989</v>
      </c>
      <c r="F21" s="438">
        <f>+'16MIZC'!D8</f>
        <v>0.99999999999999989</v>
      </c>
      <c r="H21" s="779" t="str">
        <f>+'16MIZC'!F10</f>
        <v/>
      </c>
      <c r="I21" s="434" t="str">
        <f>+'16MIZC'!E12</f>
        <v>Línea estratégica N°. 2. Sostenibilidad del recurso natural
Programa N° 2 2.. Biodiversidad y Riqueza de los Ecosistemas Marino Costeros. 
Proyecto 2.2.1 Ordenamiento Ambiental de la Unidad Costera
Proyecto 2.2.3. Conservación de ecosistemas Marinos y Costeros</v>
      </c>
      <c r="J21" s="780" t="str">
        <f>+'16MIZC'!E13</f>
        <v>Seis (6) Acciones Estrategicas para el cuatrienio: 2.2.1.1-2.2.1.2-2.2.2.1-2.2.3.1-.2.2.3.2</v>
      </c>
      <c r="K21" s="769" t="str">
        <f t="shared" si="0"/>
        <v/>
      </c>
      <c r="L21" s="435" t="str">
        <f t="shared" si="1"/>
        <v>Línea estratégica N°. 2. Sostenibilidad del recurso natural
Programa N° 2 2.. Biodiversidad y Riqueza de los Ecosistemas Marino Costeros. 
Proyecto 2.2.1 Ordenamiento Ambiental de la Unidad Costera
Proyecto 2.2.3. Conservación de ecosistemas Marinos y Costeros</v>
      </c>
      <c r="M21" s="436" t="str">
        <f t="shared" si="2"/>
        <v>Seis (6) Acciones Estrategicas para el cuatrienio: 2.2.1.1-2.2.1.2-2.2.2.1-2.2.3.1-.2.2.3.2</v>
      </c>
      <c r="N21" s="437" t="s">
        <v>876</v>
      </c>
      <c r="O21" s="770"/>
      <c r="P21" s="769" t="str">
        <f t="shared" si="3"/>
        <v>Línea estratégica N°. 2. Sostenibilidad del recurso natural
Programa N° 2 2.. Biodiversidad y Riqueza de los Ecosistemas Marino Costeros. 
Proyecto 2.2.1 Ordenamiento Ambiental de la Unidad Costera
Proyecto 2.2.3. Conservación de ecosistemas Marinos y Costeros</v>
      </c>
      <c r="Q21" s="435"/>
      <c r="R21" s="436" t="str">
        <f t="shared" si="5"/>
        <v xml:space="preserve"> </v>
      </c>
      <c r="S21" s="437" t="s">
        <v>876</v>
      </c>
      <c r="T21" s="770"/>
    </row>
    <row r="22" spans="1:20" ht="180">
      <c r="A22" s="431" t="s">
        <v>1160</v>
      </c>
      <c r="B22" s="432" t="s">
        <v>629</v>
      </c>
      <c r="C22" s="438">
        <f>+'17PGIRS'!E22</f>
        <v>1</v>
      </c>
      <c r="D22" s="438">
        <v>0.95652173913043481</v>
      </c>
      <c r="E22" s="438">
        <f>+'17PGIRS'!D8</f>
        <v>1</v>
      </c>
      <c r="F22" s="438">
        <f>+'17PGIRS'!D8</f>
        <v>1</v>
      </c>
      <c r="H22" s="779" t="str">
        <f>+'17PGIRS'!F10</f>
        <v/>
      </c>
      <c r="I22" s="434" t="str">
        <f>+'17PGIRS'!E12</f>
        <v>Línea estratégica N°. 4. Sostenibilidad sectorial; Programa N° programa no 4.4. Prevención, control y monitoreo del aire y suelo. Proyecto No 4.4.4. Residuos y economía circular. Actividad 4.4.4.2.</v>
      </c>
      <c r="J22" s="780" t="str">
        <f>+'17PGIRS'!E13</f>
        <v>Es importante mencionar que, la CRA tiene jurisdicción en el área rural del distrito de Barranquilla; sin embargo, el PGIRS del distrito en su mayoría va dirigido al área urbana del mismo, razón por la cual el seguimiento ambiental del instrumento es realizado por EPA Barranquilla Verde. En consecuencia, se aprobó en consejo directivo mediante el Acuerdo No.11 de 2022 la modificación de este indicador de 23 a 22.</v>
      </c>
      <c r="K22" s="769" t="str">
        <f t="shared" si="0"/>
        <v/>
      </c>
      <c r="L22" s="435" t="str">
        <f t="shared" si="1"/>
        <v>Línea estratégica N°. 4. Sostenibilidad sectorial; Programa N° programa no 4.4. Prevención, control y monitoreo del aire y suelo. Proyecto No 4.4.4. Residuos y economía circular. Actividad 4.4.4.2.</v>
      </c>
      <c r="M22" s="436" t="str">
        <f t="shared" si="2"/>
        <v>Es importante mencionar que, la CRA tiene jurisdicción en el área rural del distrito de Barranquilla; sin embargo, el PGIRS del distrito en su mayoría va dirigido al área urbana del mismo, razón por la cual el seguimiento ambiental del instrumento es realizado por EPA Barranquilla Verde. En consecuencia, se aprobó en consejo directivo mediante el Acuerdo No.11 de 2022 la modificación de este indicador de 23 a 22.</v>
      </c>
      <c r="N22" s="437" t="s">
        <v>876</v>
      </c>
      <c r="O22" s="770"/>
      <c r="P22" s="769" t="str">
        <f t="shared" si="3"/>
        <v>Línea estratégica N°. 4. Sostenibilidad sectorial; Programa N° programa no 4.4. Prevención, control y monitoreo del aire y suelo. Proyecto No 4.4.4. Residuos y economía circular. Actividad 4.4.4.2.</v>
      </c>
      <c r="Q22" s="435"/>
      <c r="R22" s="436" t="str">
        <f t="shared" si="5"/>
        <v xml:space="preserve"> </v>
      </c>
      <c r="S22" s="437" t="s">
        <v>876</v>
      </c>
      <c r="T22" s="770"/>
    </row>
    <row r="23" spans="1:20" ht="240">
      <c r="A23" s="431" t="s">
        <v>1161</v>
      </c>
      <c r="B23" s="432" t="s">
        <v>649</v>
      </c>
      <c r="C23" s="438">
        <f>+'18Sector'!E20</f>
        <v>1</v>
      </c>
      <c r="D23" s="438">
        <v>1</v>
      </c>
      <c r="E23" s="438">
        <f>+'18Sector'!D8</f>
        <v>1</v>
      </c>
      <c r="F23" s="438">
        <f>+'18Sector'!D8</f>
        <v>1</v>
      </c>
      <c r="H23" s="779" t="str">
        <f>+'18Sector'!F10</f>
        <v/>
      </c>
      <c r="I23" s="434" t="str">
        <f>+'18Sector'!E12</f>
        <v>Línea estratégica N°.2. Sostenibilidad del recurso natural; Programa N° 2.1. Biodiversidad y riqueza de los ecosistemas terrestres, Proyecto No 2.1.1. Desarrollo forestal sostenible, Actividad 2.1.1.4.
Línea estratégica N°. 4. Sostenibilidad sectorial; Programa N° 4.1. Equipamiento sostenibles. Proyecto No 4.1.1. Producción más limpia. Actividad 4.1.1.1.; Programa N° 4.2. Por un departamento con energías renovables, Proyecto N° 4.2.1. Energía de biogás-biomasa, Actividad 4.2.1.1; Proyecto N° 4.2.2. Energía solar, Actividad 4.2.2.1</v>
      </c>
      <c r="J23" s="780">
        <f>+'18Sector'!E13</f>
        <v>0</v>
      </c>
      <c r="K23" s="769" t="str">
        <f t="shared" si="0"/>
        <v/>
      </c>
      <c r="L23" s="435" t="str">
        <f t="shared" si="1"/>
        <v>Línea estratégica N°.2. Sostenibilidad del recurso natural; Programa N° 2.1. Biodiversidad y riqueza de los ecosistemas terrestres, Proyecto No 2.1.1. Desarrollo forestal sostenible, Actividad 2.1.1.4.
Línea estratégica N°. 4. Sostenibilidad sectorial; Programa N° 4.1. Equipamiento sostenibles. Proyecto No 4.1.1. Producción más limpia. Actividad 4.1.1.1.; Programa N° 4.2. Por un departamento con energías renovables, Proyecto N° 4.2.1. Energía de biogás-biomasa, Actividad 4.2.1.1; Proyecto N° 4.2.2. Energía solar, Actividad 4.2.2.1</v>
      </c>
      <c r="M23" s="436" t="str">
        <f t="shared" si="2"/>
        <v/>
      </c>
      <c r="N23" s="437" t="s">
        <v>876</v>
      </c>
      <c r="O23" s="770"/>
      <c r="P23" s="769" t="str">
        <f t="shared" si="3"/>
        <v>Línea estratégica N°.2. Sostenibilidad del recurso natural; Programa N° 2.1. Biodiversidad y riqueza de los ecosistemas terrestres, Proyecto No 2.1.1. Desarrollo forestal sostenible, Actividad 2.1.1.4.
Línea estratégica N°. 4. Sostenibilidad sectorial; Programa N° 4.1. Equipamiento sostenibles. Proyecto No 4.1.1. Producción más limpia. Actividad 4.1.1.1.; Programa N° 4.2. Por un departamento con energías renovables, Proyecto N° 4.2.1. Energía de biogás-biomasa, Actividad 4.2.1.1; Proyecto N° 4.2.2. Energía solar, Actividad 4.2.2.1</v>
      </c>
      <c r="Q23" s="435"/>
      <c r="R23" s="436" t="str">
        <f t="shared" si="5"/>
        <v xml:space="preserve"> </v>
      </c>
      <c r="S23" s="437" t="s">
        <v>876</v>
      </c>
      <c r="T23" s="770"/>
    </row>
    <row r="24" spans="1:20" ht="186" customHeight="1">
      <c r="A24" s="431" t="s">
        <v>1162</v>
      </c>
      <c r="B24" s="432" t="s">
        <v>697</v>
      </c>
      <c r="C24" s="438">
        <v>0.55000000000000004</v>
      </c>
      <c r="D24" s="438">
        <v>0.94549999999999979</v>
      </c>
      <c r="E24" s="438">
        <f>+'19GAU'!D8</f>
        <v>1</v>
      </c>
      <c r="F24" s="438">
        <f>+'19GAU'!D8</f>
        <v>1</v>
      </c>
      <c r="H24" s="779" t="str">
        <f>+'19GAU'!F10</f>
        <v/>
      </c>
      <c r="I24" s="434" t="str">
        <f>+'19GAU'!E12</f>
        <v>Línea Estratégica N°. 1. Sostenibilidad del recurso hídrico; Programa N° 1.2. Caracterización, cuantificación y recuperación del recurso agua como articulador de los bienes y servicios ambientales. Proyecto 1.2.3. Reducción de la contaminación del recurso hídrico.; Programa N°1.3. Gestión integral de los riesgos asociados al recurso hídrico, Proyecto 1.3.1. Generación de conocimiento y reducción del riesgo asociado al recurso hídrico.
Línea Estratégica N°. 1. 3. Sostenibilidad democrática; Programa N° 3.1. La educación ambiental como proceso de transformación cultural para la sostenibilidad ambientales. Proyecto 3.1.3. Inclusión del tema ambiental en la educación no formal.; Proyecto 3.1.4. Impulso de las estrategias educativas para la construcción de una cultura de prevención y gestión del riesgo
Línea Estratégica N°. 4. Sostenibilidad sectorial, Programa N° 4.4. Prevención, control y monitoreo del aire y suelo, Proyecto N° 4.4.3. Ruido</v>
      </c>
      <c r="J24" s="780">
        <f>+'19GAU'!E13</f>
        <v>0</v>
      </c>
      <c r="K24" s="769" t="str">
        <f t="shared" si="0"/>
        <v/>
      </c>
      <c r="L24" s="435" t="str">
        <f t="shared" si="1"/>
        <v>Línea Estratégica N°. 1. Sostenibilidad del recurso hídrico; Programa N° 1.2. Caracterización, cuantificación y recuperación del recurso agua como articulador de los bienes y servicios ambientales. Proyecto 1.2.3. Reducción de la contaminación del recurso hídrico.; Programa N°1.3. Gestión integral de los riesgos asociados al recurso hídrico, Proyecto 1.3.1. Generación de conocimiento y reducción del riesgo asociado al recurso hídrico.
Línea Estratégica N°. 1. 3. Sostenibilidad democrática; Programa N° 3.1. La educación ambiental como proceso de transformación cultural para la sostenibilidad ambientales. Proyecto 3.1.3. Inclusión del tema ambiental en la educación no formal.; Proyecto 3.1.4. Impulso de las estrategias educativas para la construcción de una cultura de prevención y gestión del riesgo
Línea Estratégica N°. 4. Sostenibilidad sectorial, Programa N° 4.4. Prevención, control y monitoreo del aire y suelo, Proyecto N° 4.4.3. Ruido</v>
      </c>
      <c r="M24" s="436" t="str">
        <f t="shared" si="2"/>
        <v/>
      </c>
      <c r="N24" s="437" t="s">
        <v>876</v>
      </c>
      <c r="O24" s="770"/>
      <c r="P24" s="769" t="str">
        <f t="shared" si="3"/>
        <v>Línea Estratégica N°. 1. Sostenibilidad del recurso hídrico; Programa N° 1.2. Caracterización, cuantificación y recuperación del recurso agua como articulador de los bienes y servicios ambientales. Proyecto 1.2.3. Reducción de la contaminación del recurso hídrico.; Programa N°1.3. Gestión integral de los riesgos asociados al recurso hídrico, Proyecto 1.3.1. Generación de conocimiento y reducción del riesgo asociado al recurso hídrico.
Línea Estratégica N°. 1. 3. Sostenibilidad democrática; Programa N° 3.1. La educación ambiental como proceso de transformación cultural para la sostenibilidad ambientales. Proyecto 3.1.3. Inclusión del tema ambiental en la educación no formal.; Proyecto 3.1.4. Impulso de las estrategias educativas para la construcción de una cultura de prevención y gestión del riesgo
Línea Estratégica N°. 4. Sostenibilidad sectorial, Programa N° 4.4. Prevención, control y monitoreo del aire y suelo, Proyecto N° 4.4.3. Ruido</v>
      </c>
      <c r="Q24" s="435"/>
      <c r="R24" s="436" t="str">
        <f t="shared" si="5"/>
        <v xml:space="preserve"> </v>
      </c>
      <c r="S24" s="437" t="s">
        <v>876</v>
      </c>
      <c r="T24" s="770"/>
    </row>
    <row r="25" spans="1:20" ht="72">
      <c r="A25" s="431" t="s">
        <v>1163</v>
      </c>
      <c r="B25" s="432" t="s">
        <v>767</v>
      </c>
      <c r="C25" s="438" t="s">
        <v>1805</v>
      </c>
      <c r="D25" s="438">
        <v>0.98573623934632049</v>
      </c>
      <c r="E25" s="438">
        <f>+'20Negoc'!D8</f>
        <v>1</v>
      </c>
      <c r="F25" s="438">
        <f>+'20Negoc'!D8</f>
        <v>1</v>
      </c>
      <c r="H25" s="779" t="str">
        <f>+'20Negoc'!F10</f>
        <v/>
      </c>
      <c r="I25" s="434" t="str">
        <f>+'20Negoc'!E12</f>
        <v>Línea Estratégica N°. 2. Sostenibilidad del recurso natural; Programa N° 2.3. Estrategias regionales de conservación. Proyecto No 2.3.2. Negocios verdes.</v>
      </c>
      <c r="J25" s="780">
        <f>+'20Negoc'!E13</f>
        <v>0</v>
      </c>
      <c r="K25" s="769" t="str">
        <f t="shared" si="0"/>
        <v/>
      </c>
      <c r="L25" s="435" t="str">
        <f t="shared" si="1"/>
        <v>Línea Estratégica N°. 2. Sostenibilidad del recurso natural; Programa N° 2.3. Estrategias regionales de conservación. Proyecto No 2.3.2. Negocios verdes.</v>
      </c>
      <c r="M25" s="436" t="str">
        <f t="shared" si="2"/>
        <v/>
      </c>
      <c r="N25" s="437" t="s">
        <v>876</v>
      </c>
      <c r="O25" s="770"/>
      <c r="P25" s="769" t="str">
        <f t="shared" si="3"/>
        <v>Línea Estratégica N°. 2. Sostenibilidad del recurso natural; Programa N° 2.3. Estrategias regionales de conservación. Proyecto No 2.3.2. Negocios verdes.</v>
      </c>
      <c r="Q25" s="435"/>
      <c r="R25" s="436" t="str">
        <f t="shared" si="5"/>
        <v xml:space="preserve"> </v>
      </c>
      <c r="S25" s="437" t="s">
        <v>876</v>
      </c>
      <c r="T25" s="770"/>
    </row>
    <row r="26" spans="1:20" ht="108">
      <c r="A26" s="431" t="s">
        <v>1164</v>
      </c>
      <c r="B26" s="432" t="s">
        <v>828</v>
      </c>
      <c r="C26" s="438">
        <v>0.85818392134181598</v>
      </c>
      <c r="D26" s="438">
        <v>0.98166666666666669</v>
      </c>
      <c r="E26" s="438">
        <f>+'21TiempoT'!D8</f>
        <v>0.80397435897435909</v>
      </c>
      <c r="F26" s="438">
        <f>+'21TiempoT'!D8</f>
        <v>0.80397435897435909</v>
      </c>
      <c r="H26" s="779" t="str">
        <f>+'21TiempoT'!F10</f>
        <v/>
      </c>
      <c r="I26" s="434" t="str">
        <f>+'21TiempoT'!E12</f>
        <v>Línea Estratégica N°. 4. Sostenibilidad sectorial, Programa N° Instrumenos económicos y de control ambiental. ACCIÓN ESTRATÉGICA No. 4.5.1.1. Promover la eficiencia en la evaluación, seguimiento y control de trámites ambientales</v>
      </c>
      <c r="J26" s="780">
        <f>+'21TiempoT'!E13</f>
        <v>0</v>
      </c>
      <c r="K26" s="769" t="str">
        <f t="shared" si="0"/>
        <v/>
      </c>
      <c r="L26" s="435" t="str">
        <f t="shared" si="1"/>
        <v>Línea Estratégica N°. 4. Sostenibilidad sectorial, Programa N° Instrumenos económicos y de control ambiental. ACCIÓN ESTRATÉGICA No. 4.5.1.1. Promover la eficiencia en la evaluación, seguimiento y control de trámites ambientales</v>
      </c>
      <c r="M26" s="436" t="str">
        <f t="shared" si="2"/>
        <v/>
      </c>
      <c r="N26" s="437" t="s">
        <v>876</v>
      </c>
      <c r="O26" s="770"/>
      <c r="P26" s="769" t="str">
        <f t="shared" si="3"/>
        <v>Línea Estratégica N°. 4. Sostenibilidad sectorial, Programa N° Instrumenos económicos y de control ambiental. ACCIÓN ESTRATÉGICA No. 4.5.1.1. Promover la eficiencia en la evaluación, seguimiento y control de trámites ambientales</v>
      </c>
      <c r="Q26" s="435"/>
      <c r="R26" s="436" t="str">
        <f t="shared" si="5"/>
        <v xml:space="preserve"> </v>
      </c>
      <c r="S26" s="437" t="s">
        <v>876</v>
      </c>
      <c r="T26" s="770"/>
    </row>
    <row r="27" spans="1:20" ht="108">
      <c r="A27" s="431" t="s">
        <v>1165</v>
      </c>
      <c r="B27" s="432" t="s">
        <v>875</v>
      </c>
      <c r="C27" s="438">
        <v>0.62349623978823254</v>
      </c>
      <c r="D27" s="438">
        <v>0.93123876123876126</v>
      </c>
      <c r="E27" s="438">
        <f>+'22Autor'!D8</f>
        <v>0.46377860707037832</v>
      </c>
      <c r="F27" s="785">
        <f>+'22Autor'!D8</f>
        <v>0.46377860707037832</v>
      </c>
      <c r="H27" s="779" t="str">
        <f>+'22Autor'!F10</f>
        <v/>
      </c>
      <c r="I27" s="434" t="str">
        <f>+'22Autor'!E12</f>
        <v>Línea Estratégica N°. 4. Sostenibilidad sectorial, Programa N° Instrumenos económicos y de control ambiental. ACCIÓN ESTRATÉGICA No. 4.5.1.1. Promover la eficiencia en la evaluación, seguimiento y control de trámites ambientales</v>
      </c>
      <c r="J27" s="780">
        <f>+'22Autor'!E13</f>
        <v>0</v>
      </c>
      <c r="K27" s="769" t="str">
        <f t="shared" si="0"/>
        <v/>
      </c>
      <c r="L27" s="435" t="str">
        <f t="shared" si="1"/>
        <v>Línea Estratégica N°. 4. Sostenibilidad sectorial, Programa N° Instrumenos económicos y de control ambiental. ACCIÓN ESTRATÉGICA No. 4.5.1.1. Promover la eficiencia en la evaluación, seguimiento y control de trámites ambientales</v>
      </c>
      <c r="M27" s="436" t="str">
        <f t="shared" si="2"/>
        <v/>
      </c>
      <c r="N27" s="437" t="s">
        <v>876</v>
      </c>
      <c r="O27" s="770"/>
      <c r="P27" s="769" t="str">
        <f t="shared" si="3"/>
        <v>Línea Estratégica N°. 4. Sostenibilidad sectorial, Programa N° Instrumenos económicos y de control ambiental. ACCIÓN ESTRATÉGICA No. 4.5.1.1. Promover la eficiencia en la evaluación, seguimiento y control de trámites ambientales</v>
      </c>
      <c r="Q27" s="435"/>
      <c r="R27" s="436" t="str">
        <f t="shared" si="5"/>
        <v xml:space="preserve"> </v>
      </c>
      <c r="S27" s="437" t="s">
        <v>876</v>
      </c>
      <c r="T27" s="770"/>
    </row>
    <row r="28" spans="1:20" ht="108">
      <c r="A28" s="431" t="s">
        <v>1166</v>
      </c>
      <c r="B28" s="432" t="s">
        <v>939</v>
      </c>
      <c r="C28" s="438">
        <f>+'23Sanc'!E21</f>
        <v>0.13026052104208416</v>
      </c>
      <c r="D28" s="438">
        <v>0.21621621621621623</v>
      </c>
      <c r="E28" s="438">
        <v>0.03</v>
      </c>
      <c r="F28" s="785">
        <f>+'23Sanc'!D8</f>
        <v>2.4271844660194174E-2</v>
      </c>
      <c r="H28" s="779" t="str">
        <f>+'22Autor'!F10</f>
        <v/>
      </c>
      <c r="I28" s="434" t="str">
        <f>+'22Autor'!E12</f>
        <v>Línea Estratégica N°. 4. Sostenibilidad sectorial, Programa N° Instrumenos económicos y de control ambiental. ACCIÓN ESTRATÉGICA No. 4.5.1.1. Promover la eficiencia en la evaluación, seguimiento y control de trámites ambientales</v>
      </c>
      <c r="J28" s="780">
        <f>+'22Autor'!E13</f>
        <v>0</v>
      </c>
      <c r="K28" s="769" t="str">
        <f t="shared" si="0"/>
        <v/>
      </c>
      <c r="L28" s="435" t="str">
        <f t="shared" si="1"/>
        <v>Línea Estratégica N°. 4. Sostenibilidad sectorial, Programa N° Instrumenos económicos y de control ambiental. ACCIÓN ESTRATÉGICA No. 4.5.1.1. Promover la eficiencia en la evaluación, seguimiento y control de trámites ambientales</v>
      </c>
      <c r="M28" s="436" t="str">
        <f t="shared" si="2"/>
        <v/>
      </c>
      <c r="N28" s="437" t="s">
        <v>876</v>
      </c>
      <c r="O28" s="770"/>
      <c r="P28" s="769" t="str">
        <f t="shared" si="3"/>
        <v>Línea Estratégica N°. 4. Sostenibilidad sectorial, Programa N° Instrumenos económicos y de control ambiental. ACCIÓN ESTRATÉGICA No. 4.5.1.1. Promover la eficiencia en la evaluación, seguimiento y control de trámites ambientales</v>
      </c>
      <c r="Q28" s="435"/>
      <c r="R28" s="436" t="str">
        <f t="shared" si="5"/>
        <v xml:space="preserve"> </v>
      </c>
      <c r="S28" s="437" t="s">
        <v>876</v>
      </c>
      <c r="T28" s="770"/>
    </row>
    <row r="29" spans="1:20" ht="72">
      <c r="A29" s="431" t="s">
        <v>1167</v>
      </c>
      <c r="B29" s="432" t="s">
        <v>960</v>
      </c>
      <c r="C29" s="438">
        <f>+'24POT'!E17</f>
        <v>1</v>
      </c>
      <c r="D29" s="438">
        <v>1</v>
      </c>
      <c r="E29" s="438">
        <f>'24POT'!D7</f>
        <v>1</v>
      </c>
      <c r="F29" s="438">
        <f>'24POT'!D7</f>
        <v>1</v>
      </c>
      <c r="H29" s="779" t="str">
        <f>+'24POT'!F9</f>
        <v/>
      </c>
      <c r="I29" s="434" t="str">
        <f>'24POT'!E11</f>
        <v xml:space="preserve">Línea Estratégica N°. 4. Sostenibilidad sectorial, Programa N° 4.3. Territorios con planificación ambiental, Proyecto N° 4.3.1. Instrumentos de planificación. Actividad 4.3.1.1 </v>
      </c>
      <c r="J29" s="780">
        <f>'24POT'!E12</f>
        <v>0</v>
      </c>
      <c r="K29" s="769" t="str">
        <f t="shared" si="0"/>
        <v/>
      </c>
      <c r="L29" s="435" t="str">
        <f t="shared" si="1"/>
        <v xml:space="preserve">Línea Estratégica N°. 4. Sostenibilidad sectorial, Programa N° 4.3. Territorios con planificación ambiental, Proyecto N° 4.3.1. Instrumentos de planificación. Actividad 4.3.1.1 </v>
      </c>
      <c r="M29" s="436" t="str">
        <f t="shared" si="2"/>
        <v/>
      </c>
      <c r="N29" s="437" t="s">
        <v>876</v>
      </c>
      <c r="O29" s="770"/>
      <c r="P29" s="769" t="str">
        <f t="shared" si="3"/>
        <v xml:space="preserve">Línea Estratégica N°. 4. Sostenibilidad sectorial, Programa N° 4.3. Territorios con planificación ambiental, Proyecto N° 4.3.1. Instrumentos de planificación. Actividad 4.3.1.1 </v>
      </c>
      <c r="Q29" s="435"/>
      <c r="R29" s="436" t="str">
        <f t="shared" si="5"/>
        <v xml:space="preserve"> </v>
      </c>
      <c r="S29" s="437" t="s">
        <v>876</v>
      </c>
      <c r="T29" s="770"/>
    </row>
    <row r="30" spans="1:20" ht="192" customHeight="1">
      <c r="A30" s="431" t="s">
        <v>1168</v>
      </c>
      <c r="B30" s="432" t="s">
        <v>989</v>
      </c>
      <c r="C30" s="438">
        <v>0</v>
      </c>
      <c r="D30" s="438">
        <v>0</v>
      </c>
      <c r="E30" s="438">
        <f>+'25Redes'!D8</f>
        <v>1</v>
      </c>
      <c r="F30" s="785">
        <f>+'25Redes'!D8</f>
        <v>1</v>
      </c>
      <c r="H30" s="779" t="str">
        <f>+'25Redes'!F10</f>
        <v/>
      </c>
      <c r="I30" s="434" t="str">
        <f>+'25Redes'!E12</f>
        <v>Línea Estratégica N°. 4. Sostenibilidad sectorial, Programa N° 4.4. Prevención, control y monitoreo del aire y suelo, Proyecto N° 4.4.1. Aire. Actividad 4.4.1.1</v>
      </c>
      <c r="J30" s="780" t="str">
        <f>+'25Redes'!E13</f>
        <v xml:space="preserve">La C.R.A. no cuenta con estaciones hidrometeorológicas, las estaciones de calidad de aire existentes en la CRA en la vigencia 2021 no estan reportando datos de calidad del aire, solo reportaron datos meteorológicos en la vigencia 2021.
En la vigencia 2022 se suscribió el convenio  convenio 002 desarrollo el objeto de “AUNAR ESFUERZOS TECNICOS, ADMINISTRATIVOS, y FINANCIEROS PARA APOYAR EL DESARROLLO DE PROGRAMA DE FORTALECIMIENTO DE LA GESTIÓN AMBIENTAL SOSTENIBLE DE LOS RECURSOS NATURALES SECTORIALES, QUE CONTRIBUYA A LA CONSERVACIÓN DE LA BIODIVERSIDAD y RIQUEZA DE LOS ECOSISTEMAS TERRESTRES y MARINO COSTEROS DEL DEPARTAMENTO DEL ATLÁNTICO” realizó el diagnóstico de la red actual de montoreo y estableció el rediseño del sistema de vigilancia para las estaciones del municipio de Galapa y Soledad.
Actualmente se ejecuta el convenio 009 del 2023 “Aunar esfuerzos técnicos, administrativos y financieros para dar continuidad al desarrollo de un Programa de Fortalecimiento de la Gestión Ambiental Sostenible de los Recursos Naturales y Sectoriales, que contribuya a la conservación de la biodiversidad y riqueza de los ecosistemas terrestres y marino costeros del departamento del Atlántico” para la seleccionar minino (2) dos de las (8) ocho estaciones de calidad de aire a ser intervenidas/armadas para funcionamiento conforme a los resultados del diagnóstico de equipos de la red de calidad de aire - Corporación Autónoma Regional del Atlántico. </v>
      </c>
      <c r="K30" s="769" t="str">
        <f t="shared" si="0"/>
        <v/>
      </c>
      <c r="L30" s="435" t="str">
        <f t="shared" si="1"/>
        <v>Línea Estratégica N°. 4. Sostenibilidad sectorial, Programa N° 4.4. Prevención, control y monitoreo del aire y suelo, Proyecto N° 4.4.1. Aire. Actividad 4.4.1.1</v>
      </c>
      <c r="M30" s="436" t="str">
        <f t="shared" si="2"/>
        <v xml:space="preserve">La C.R.A. no cuenta con estaciones hidrometeorológicas, las estaciones de calidad de aire existentes en la CRA en la vigencia 2021 no estan reportando datos de calidad del aire, solo reportaron datos meteorológicos en la vigencia 2021.
En la vigencia 2022 se suscribió el convenio  convenio 002 desarrollo el objeto de “AUNAR ESFUERZOS TECNICOS, ADMINISTRATIVOS, y FINANCIEROS PARA APOYAR EL DESARROLLO DE PROGRAMA DE FORTALECIMIENTO DE LA GESTIÓN AMBIENTAL SOSTENIBLE DE LOS RECURSOS NATURALES SECTORIALES, QUE CONTRIBUYA A LA CONSERVACIÓN DE LA BIODIVERSIDAD y RIQUEZA DE LOS ECOSISTEMAS TERRESTRES y MARINO COSTEROS DEL DEPARTAMENTO DEL ATLÁNTICO” realizó el diagnóstico de la red actual de montoreo y estableció el rediseño del sistema de vigilancia para las estaciones del municipio de Galapa y Soledad.
Actualmente se ejecuta el convenio 009 del 2023 “Aunar esfuerzos técnicos, administrativos y financieros para dar continuidad al desarrollo de un Programa de Fortalecimiento de la Gestión Ambiental Sostenible de los Recursos Naturales y Sectoriales, que contribuya a la conservación de la biodiversidad y riqueza de los ecosistemas terrestres y marino costeros del departamento del Atlántico” para la seleccionar minino (2) dos de las (8) ocho estaciones de calidad de aire a ser intervenidas/armadas para funcionamiento conforme a los resultados del diagnóstico de equipos de la red de calidad de aire - Corporación Autónoma Regional del Atlántico. </v>
      </c>
      <c r="N30" s="437" t="s">
        <v>876</v>
      </c>
      <c r="O30" s="770"/>
      <c r="P30" s="769" t="str">
        <f t="shared" si="3"/>
        <v>Línea Estratégica N°. 4. Sostenibilidad sectorial, Programa N° 4.4. Prevención, control y monitoreo del aire y suelo, Proyecto N° 4.4.1. Aire. Actividad 4.4.1.1</v>
      </c>
      <c r="Q30" s="435"/>
      <c r="R30" s="436" t="str">
        <f t="shared" si="5"/>
        <v xml:space="preserve"> </v>
      </c>
      <c r="S30" s="437" t="s">
        <v>876</v>
      </c>
      <c r="T30" s="770"/>
    </row>
    <row r="31" spans="1:20" ht="324">
      <c r="A31" s="431" t="s">
        <v>1169</v>
      </c>
      <c r="B31" s="432" t="s">
        <v>1062</v>
      </c>
      <c r="C31" s="438">
        <v>0.73150453066602128</v>
      </c>
      <c r="D31" s="438">
        <v>1</v>
      </c>
      <c r="E31" s="438">
        <f>+'26SIAC'!D8</f>
        <v>1</v>
      </c>
      <c r="F31" s="438">
        <f>+'26SIAC'!D8</f>
        <v>1</v>
      </c>
      <c r="H31" s="779" t="str">
        <f>+'26SIAC'!F10</f>
        <v/>
      </c>
      <c r="I31" s="434" t="str">
        <f>+'26SIAC'!E12</f>
        <v>Línea Estratégica N°. 1. Sostenibilidad hídrica; Programa N° 2.3. 1.2. Caracterización, cuantificación y recuperación del recurso agua como articulador de los bienes y servicios ambientales. Proyecto No 1.2.2. Control y prevención de la contaminación del recurso hídrico. Actividad 1.2.2.1.
Línea Estratégica N°. 4. Sostenibilidad sectorial, Programa N° 4.4. Prevención, control y monitoreo del aire y suelo, Proyecto N° 4.4.1. Aire. Actividad 4.4.1.3.; Proyecto N° 4.4.4. Residuos y economía circular, Actividad 4.4.4.4
Línea Estratégica N°. 5. Sostenibilidad institucional; Programa N° 5.6. Sistemas de información ambiental. Proyecto 5.6.2. Sistemas de información ambiental (SIAC). Actividad 5.6.2.2</v>
      </c>
      <c r="J31" s="780" t="str">
        <f>+'26SIAC'!E13</f>
        <v>* SISAIRE: El SVCA consta de ocho estaciones, pero debido a fallos del sistema eléctrico se retiró la estación Luruaco, y sólo están instaladas siete estaciones, y la estación FONDO02 Bomberos, se encuentra instalada pero sufrió una avería por daño en la tarjeta electrónica y no reporta datos para el caso de SISAIRE.</v>
      </c>
      <c r="K31" s="769" t="str">
        <f t="shared" si="0"/>
        <v/>
      </c>
      <c r="L31" s="435" t="str">
        <f t="shared" si="1"/>
        <v>Línea Estratégica N°. 1. Sostenibilidad hídrica; Programa N° 2.3. 1.2. Caracterización, cuantificación y recuperación del recurso agua como articulador de los bienes y servicios ambientales. Proyecto No 1.2.2. Control y prevención de la contaminación del recurso hídrico. Actividad 1.2.2.1.
Línea Estratégica N°. 4. Sostenibilidad sectorial, Programa N° 4.4. Prevención, control y monitoreo del aire y suelo, Proyecto N° 4.4.1. Aire. Actividad 4.4.1.3.; Proyecto N° 4.4.4. Residuos y economía circular, Actividad 4.4.4.4
Línea Estratégica N°. 5. Sostenibilidad institucional; Programa N° 5.6. Sistemas de información ambiental. Proyecto 5.6.2. Sistemas de información ambiental (SIAC). Actividad 5.6.2.2</v>
      </c>
      <c r="M31" s="436" t="str">
        <f t="shared" si="2"/>
        <v>* SISAIRE: El SVCA consta de ocho estaciones, pero debido a fallos del sistema eléctrico se retiró la estación Luruaco, y sólo están instaladas siete estaciones, y la estación FONDO02 Bomberos, se encuentra instalada pero sufrió una avería por daño en la tarjeta electrónica y no reporta datos para el caso de SISAIRE.</v>
      </c>
      <c r="N31" s="437" t="s">
        <v>876</v>
      </c>
      <c r="O31" s="770"/>
      <c r="P31" s="769" t="str">
        <f t="shared" si="3"/>
        <v>Línea Estratégica N°. 1. Sostenibilidad hídrica; Programa N° 2.3. 1.2. Caracterización, cuantificación y recuperación del recurso agua como articulador de los bienes y servicios ambientales. Proyecto No 1.2.2. Control y prevención de la contaminación del recurso hídrico. Actividad 1.2.2.1.
Línea Estratégica N°. 4. Sostenibilidad sectorial, Programa N° 4.4. Prevención, control y monitoreo del aire y suelo, Proyecto N° 4.4.1. Aire. Actividad 4.4.1.3.; Proyecto N° 4.4.4. Residuos y economía circular, Actividad 4.4.4.4
Línea Estratégica N°. 5. Sostenibilidad institucional; Programa N° 5.6. Sistemas de información ambiental. Proyecto 5.6.2. Sistemas de información ambiental (SIAC). Actividad 5.6.2.2</v>
      </c>
      <c r="Q31" s="435"/>
      <c r="R31" s="436" t="str">
        <f t="shared" si="5"/>
        <v xml:space="preserve"> </v>
      </c>
      <c r="S31" s="437" t="s">
        <v>876</v>
      </c>
      <c r="T31" s="770"/>
    </row>
    <row r="32" spans="1:20" ht="204.6" thickBot="1">
      <c r="A32" s="431" t="s">
        <v>1170</v>
      </c>
      <c r="B32" s="432" t="s">
        <v>1109</v>
      </c>
      <c r="C32" s="438">
        <v>0.22551773664309277</v>
      </c>
      <c r="D32" s="438">
        <v>0.91000000000000025</v>
      </c>
      <c r="E32" s="438">
        <f>+'27Educa'!D8</f>
        <v>1.0000000000000002</v>
      </c>
      <c r="F32" s="438">
        <f>+'27Educa'!D8</f>
        <v>1.0000000000000002</v>
      </c>
      <c r="H32" s="781" t="str">
        <f>+'27Educa'!F10</f>
        <v/>
      </c>
      <c r="I32" s="782" t="str">
        <f>+'27Educa'!E12</f>
        <v>Línea Estratégica N°. 3. Sostenibilidad democrática, Programa N° 3.1. La educación ambiental como proceso de transformación cultural para la sostenibilidad; Programa N° 3.2. La participación social como fundamento de la gestión ambiental territorial; Programa N° 3.3. La diversidad etnocultural del departamento del atlántico como potencial estratégico para la sostenibilidad ambiental; Programa N° 3.4. Participación para el seguimientos ods municipales del compenente ambiental</v>
      </c>
      <c r="J32" s="783">
        <f>+'27Educa'!E13</f>
        <v>0</v>
      </c>
      <c r="K32" s="771" t="str">
        <f t="shared" si="0"/>
        <v/>
      </c>
      <c r="L32" s="772" t="str">
        <f t="shared" si="1"/>
        <v>Línea Estratégica N°. 3. Sostenibilidad democrática, Programa N° 3.1. La educación ambiental como proceso de transformación cultural para la sostenibilidad; Programa N° 3.2. La participación social como fundamento de la gestión ambiental territorial; Programa N° 3.3. La diversidad etnocultural del departamento del atlántico como potencial estratégico para la sostenibilidad ambiental; Programa N° 3.4. Participación para el seguimientos ods municipales del compenente ambiental</v>
      </c>
      <c r="M32" s="773" t="str">
        <f t="shared" si="2"/>
        <v/>
      </c>
      <c r="N32" s="774" t="s">
        <v>876</v>
      </c>
      <c r="O32" s="775"/>
      <c r="P32" s="771" t="str">
        <f t="shared" si="3"/>
        <v>Línea Estratégica N°. 3. Sostenibilidad democrática, Programa N° 3.1. La educación ambiental como proceso de transformación cultural para la sostenibilidad; Programa N° 3.2. La participación social como fundamento de la gestión ambiental territorial; Programa N° 3.3. La diversidad etnocultural del departamento del atlántico como potencial estratégico para la sostenibilidad ambiental; Programa N° 3.4. Participación para el seguimientos ods municipales del compenente ambiental</v>
      </c>
      <c r="Q32" s="772" t="str">
        <f t="shared" ref="Q32" si="6">IF(ISNUMBER(M32),"",M32)</f>
        <v/>
      </c>
      <c r="R32" s="773" t="str">
        <f t="shared" si="5"/>
        <v xml:space="preserve"> </v>
      </c>
      <c r="S32" s="774" t="s">
        <v>876</v>
      </c>
      <c r="T32" s="775"/>
    </row>
  </sheetData>
  <mergeCells count="8">
    <mergeCell ref="R6:T6"/>
    <mergeCell ref="P4:T4"/>
    <mergeCell ref="A3:T3"/>
    <mergeCell ref="A2:T2"/>
    <mergeCell ref="A1:T1"/>
    <mergeCell ref="A4:B4"/>
    <mergeCell ref="K4:O4"/>
    <mergeCell ref="H4:J4"/>
  </mergeCells>
  <conditionalFormatting sqref="C6:C32 D8 D10:D16">
    <cfRule type="colorScale" priority="10">
      <colorScale>
        <cfvo type="min"/>
        <cfvo type="percentile" val="50"/>
        <cfvo type="max"/>
        <color rgb="FFF8696B"/>
        <color rgb="FFFFEB84"/>
        <color rgb="FF63BE7B"/>
      </colorScale>
    </cfRule>
    <cfRule type="colorScale" priority="11">
      <colorScale>
        <cfvo type="min"/>
        <cfvo type="percentile" val="50"/>
        <cfvo type="max"/>
        <color rgb="FFF8696B"/>
        <color rgb="FFFFEB84"/>
        <color rgb="FF63BE7B"/>
      </colorScale>
    </cfRule>
  </conditionalFormatting>
  <conditionalFormatting sqref="D7">
    <cfRule type="colorScale" priority="8">
      <colorScale>
        <cfvo type="min"/>
        <cfvo type="percentile" val="50"/>
        <cfvo type="max"/>
        <color rgb="FFF8696B"/>
        <color rgb="FFFFEB84"/>
        <color rgb="FF63BE7B"/>
      </colorScale>
    </cfRule>
    <cfRule type="colorScale" priority="9">
      <colorScale>
        <cfvo type="min"/>
        <cfvo type="percentile" val="50"/>
        <cfvo type="max"/>
        <color rgb="FFF8696B"/>
        <color rgb="FFFFEB84"/>
        <color rgb="FF63BE7B"/>
      </colorScale>
    </cfRule>
  </conditionalFormatting>
  <conditionalFormatting sqref="D9 D6 D17:D32">
    <cfRule type="colorScale" priority="39">
      <colorScale>
        <cfvo type="min"/>
        <cfvo type="percentile" val="50"/>
        <cfvo type="max"/>
        <color rgb="FFF8696B"/>
        <color rgb="FFFFEB84"/>
        <color rgb="FF63BE7B"/>
      </colorScale>
    </cfRule>
  </conditionalFormatting>
  <conditionalFormatting sqref="E6:F6">
    <cfRule type="colorScale" priority="14">
      <colorScale>
        <cfvo type="min"/>
        <cfvo type="percentile" val="50"/>
        <cfvo type="max"/>
        <color rgb="FFF8696B"/>
        <color rgb="FFFFEB84"/>
        <color rgb="FF63BE7B"/>
      </colorScale>
    </cfRule>
  </conditionalFormatting>
  <conditionalFormatting sqref="E7:F32">
    <cfRule type="colorScale" priority="15">
      <colorScale>
        <cfvo type="min"/>
        <cfvo type="percentile" val="50"/>
        <cfvo type="max"/>
        <color rgb="FFF8696B"/>
        <color rgb="FFFFEB84"/>
        <color rgb="FF63BE7B"/>
      </colorScale>
    </cfRule>
  </conditionalFormatting>
  <conditionalFormatting sqref="H6:I6">
    <cfRule type="colorScale" priority="24">
      <colorScale>
        <cfvo type="min"/>
        <cfvo type="percentile" val="50"/>
        <cfvo type="max"/>
        <color rgb="FFF8696B"/>
        <color rgb="FFFFEB84"/>
        <color rgb="FF63BE7B"/>
      </colorScale>
    </cfRule>
  </conditionalFormatting>
  <conditionalFormatting sqref="H7:I32">
    <cfRule type="colorScale" priority="36">
      <colorScale>
        <cfvo type="min"/>
        <cfvo type="percentile" val="50"/>
        <cfvo type="max"/>
        <color rgb="FFF8696B"/>
        <color rgb="FFFFEB84"/>
        <color rgb="FF63BE7B"/>
      </colorScale>
    </cfRule>
  </conditionalFormatting>
  <conditionalFormatting sqref="J6">
    <cfRule type="colorScale" priority="23">
      <colorScale>
        <cfvo type="min"/>
        <cfvo type="percentile" val="50"/>
        <cfvo type="max"/>
        <color rgb="FFF8696B"/>
        <color rgb="FFFFEB84"/>
        <color rgb="FF63BE7B"/>
      </colorScale>
    </cfRule>
  </conditionalFormatting>
  <conditionalFormatting sqref="J7:J32">
    <cfRule type="colorScale" priority="25">
      <colorScale>
        <cfvo type="min"/>
        <cfvo type="percentile" val="50"/>
        <cfvo type="max"/>
        <color rgb="FFF8696B"/>
        <color rgb="FFFFEB84"/>
        <color rgb="FF63BE7B"/>
      </colorScale>
    </cfRule>
  </conditionalFormatting>
  <conditionalFormatting sqref="K6:K7">
    <cfRule type="colorScale" priority="32">
      <colorScale>
        <cfvo type="min"/>
        <cfvo type="percentile" val="50"/>
        <cfvo type="max"/>
        <color rgb="FFF8696B"/>
        <color rgb="FFFFEB84"/>
        <color rgb="FF63BE7B"/>
      </colorScale>
    </cfRule>
  </conditionalFormatting>
  <conditionalFormatting sqref="K8:K32">
    <cfRule type="colorScale" priority="31">
      <colorScale>
        <cfvo type="min"/>
        <cfvo type="percentile" val="50"/>
        <cfvo type="max"/>
        <color rgb="FFF8696B"/>
        <color rgb="FFFFEB84"/>
        <color rgb="FF63BE7B"/>
      </colorScale>
    </cfRule>
  </conditionalFormatting>
  <conditionalFormatting sqref="L6:L32">
    <cfRule type="colorScale" priority="30">
      <colorScale>
        <cfvo type="min"/>
        <cfvo type="percentile" val="50"/>
        <cfvo type="max"/>
        <color rgb="FFF8696B"/>
        <color rgb="FFFFEB84"/>
        <color rgb="FF63BE7B"/>
      </colorScale>
    </cfRule>
  </conditionalFormatting>
  <conditionalFormatting sqref="M6">
    <cfRule type="colorScale" priority="28">
      <colorScale>
        <cfvo type="min"/>
        <cfvo type="percentile" val="50"/>
        <cfvo type="max"/>
        <color rgb="FFF8696B"/>
        <color rgb="FFFFEB84"/>
        <color rgb="FF63BE7B"/>
      </colorScale>
    </cfRule>
  </conditionalFormatting>
  <conditionalFormatting sqref="M7:M32">
    <cfRule type="colorScale" priority="26">
      <colorScale>
        <cfvo type="min"/>
        <cfvo type="percentile" val="50"/>
        <cfvo type="max"/>
        <color rgb="FFF8696B"/>
        <color rgb="FFFFEB84"/>
        <color rgb="FF63BE7B"/>
      </colorScale>
    </cfRule>
  </conditionalFormatting>
  <conditionalFormatting sqref="N6">
    <cfRule type="colorScale" priority="20">
      <colorScale>
        <cfvo type="min"/>
        <cfvo type="percentile" val="50"/>
        <cfvo type="max"/>
        <color rgb="FFF8696B"/>
        <color rgb="FFFFEB84"/>
        <color rgb="FF63BE7B"/>
      </colorScale>
    </cfRule>
  </conditionalFormatting>
  <conditionalFormatting sqref="N7:N32">
    <cfRule type="colorScale" priority="19">
      <colorScale>
        <cfvo type="min"/>
        <cfvo type="percentile" val="50"/>
        <cfvo type="max"/>
        <color rgb="FFF8696B"/>
        <color rgb="FFFFEB84"/>
        <color rgb="FF63BE7B"/>
      </colorScale>
    </cfRule>
  </conditionalFormatting>
  <conditionalFormatting sqref="P6:P7">
    <cfRule type="colorScale" priority="7">
      <colorScale>
        <cfvo type="min"/>
        <cfvo type="percentile" val="50"/>
        <cfvo type="max"/>
        <color rgb="FFF8696B"/>
        <color rgb="FFFFEB84"/>
        <color rgb="FF63BE7B"/>
      </colorScale>
    </cfRule>
  </conditionalFormatting>
  <conditionalFormatting sqref="P8:P32">
    <cfRule type="colorScale" priority="6">
      <colorScale>
        <cfvo type="min"/>
        <cfvo type="percentile" val="50"/>
        <cfvo type="max"/>
        <color rgb="FFF8696B"/>
        <color rgb="FFFFEB84"/>
        <color rgb="FF63BE7B"/>
      </colorScale>
    </cfRule>
  </conditionalFormatting>
  <conditionalFormatting sqref="Q6:Q32">
    <cfRule type="colorScale" priority="5">
      <colorScale>
        <cfvo type="min"/>
        <cfvo type="percentile" val="50"/>
        <cfvo type="max"/>
        <color rgb="FFF8696B"/>
        <color rgb="FFFFEB84"/>
        <color rgb="FF63BE7B"/>
      </colorScale>
    </cfRule>
  </conditionalFormatting>
  <conditionalFormatting sqref="R6">
    <cfRule type="colorScale" priority="4">
      <colorScale>
        <cfvo type="min"/>
        <cfvo type="percentile" val="50"/>
        <cfvo type="max"/>
        <color rgb="FFF8696B"/>
        <color rgb="FFFFEB84"/>
        <color rgb="FF63BE7B"/>
      </colorScale>
    </cfRule>
  </conditionalFormatting>
  <conditionalFormatting sqref="R7:R32">
    <cfRule type="colorScale" priority="3">
      <colorScale>
        <cfvo type="min"/>
        <cfvo type="percentile" val="50"/>
        <cfvo type="max"/>
        <color rgb="FFF8696B"/>
        <color rgb="FFFFEB84"/>
        <color rgb="FF63BE7B"/>
      </colorScale>
    </cfRule>
  </conditionalFormatting>
  <conditionalFormatting sqref="S7:S32">
    <cfRule type="colorScale" priority="1">
      <colorScale>
        <cfvo type="min"/>
        <cfvo type="percentile" val="50"/>
        <cfvo type="max"/>
        <color rgb="FFF8696B"/>
        <color rgb="FFFFEB84"/>
        <color rgb="FF63BE7B"/>
      </colorScale>
    </cfRule>
  </conditionalFormatting>
  <hyperlinks>
    <hyperlink ref="B6" location="'1POMCAS'!A1" display="Porcentaje de avance en la formulación y/o ajuste de los Planes de Ordenación y Manejo de Cuencas (POMCAS), Planes de Manejo de Acuíferos (PMA) y Planes de Manejo de Microcuencas (PMM)" xr:uid="{00000000-0004-0000-0400-000000000000}"/>
    <hyperlink ref="B7" location="'2PORH'!A1" display="Porcentaje de cuerpos de agua con planes de ordenamiento del recurso hídrico (PORH) adoptados" xr:uid="{00000000-0004-0000-0400-000001000000}"/>
    <hyperlink ref="B8" location="'3PSMV'!_Toc467769470" display="Porcentaje de Planes de Saneamiento y Manejo de Vertimientos (PSMV) con seguimiento" xr:uid="{00000000-0004-0000-0400-000002000000}"/>
    <hyperlink ref="B9" location="'4UsoAguas'!_Toc467769471" display="Porcentaje de cuerpos de agua con reglamentación del uso de las aguas" xr:uid="{00000000-0004-0000-0400-000003000000}"/>
    <hyperlink ref="B10" location="'5PUEAA'!_Toc467769472" display="Porcentaje de Programas de Uso Eficiente y Ahorro del Agua (PUEAA) con seguimiento" xr:uid="{00000000-0004-0000-0400-000004000000}"/>
    <hyperlink ref="B11" location="'6POMCASejec'!_Toc467769473" display="Porcentaje de Planes de Ordenación y Manejo de Cuencas (POMCAS), Planes de Manejo de Acuíferos (PMA) y Planes de Manejo de Microcuencas (PMM) en ejecución" xr:uid="{00000000-0004-0000-0400-000005000000}"/>
    <hyperlink ref="B12" location="'7Clima'!_Toc467769474" display="Porcentaje de entes territoriales asesorados en la incorporación, planificación y ejecución de acciones relacionadas con cambio climático en el marco de los instrumentos de planificación territorial" xr:uid="{00000000-0004-0000-0400-000006000000}"/>
    <hyperlink ref="B13" location="'8Suelo'!_Toc467769475" display="Porcentaje de suelos degradados en recuperación o rehabilitación" xr:uid="{00000000-0004-0000-0400-000007000000}"/>
    <hyperlink ref="B14" location="'9RUNAP'!_Toc467769476" display="Porcentaje de la superficie de áreas protegidas regionales declaradas, homologadas o recategorizadas, inscritas en el RUNAP" xr:uid="{00000000-0004-0000-0400-000008000000}"/>
    <hyperlink ref="B15" location="'10Paramos'!_Toc467769477" display="Porcentaje de páramos delimitados por el MADS, con zonificación y régimen de usos adoptados por la CAR" xr:uid="{00000000-0004-0000-0400-000009000000}"/>
    <hyperlink ref="B16" location="'11Forest'!_Toc467769478" display="Porcentaje de avance en la formulación del Plan de Ordenación Forestal" xr:uid="{00000000-0004-0000-0400-00000A000000}"/>
    <hyperlink ref="B17" location="'12PlanesAP'!_Toc467769479" display="Porcentaje de áreas protegidas con planes de manejo en ejecución" xr:uid="{00000000-0004-0000-0400-00000B000000}"/>
    <hyperlink ref="B18" location="'13Amenaz'!_Toc467769480" display="Porcentaje de especies amenazadas con medidas de conservación y manejo en ejecución" xr:uid="{00000000-0004-0000-0400-00000C000000}"/>
    <hyperlink ref="B19" location="'14Invasor'!_Toc467769481" display="Porcentaje de especies invasoras con medidas de prevención, control y manejo en ejecución" xr:uid="{00000000-0004-0000-0400-00000D000000}"/>
    <hyperlink ref="B20" location="'15Restaura'!_Toc467769482" display="Porcentaje de áreas de ecosistemas en restauración, rehabilitación y reforestación" xr:uid="{00000000-0004-0000-0400-00000E000000}"/>
    <hyperlink ref="B21" location="'16MIZC'!_Toc467769483" display="Implementación de acciones en manejo integrado de zonas costeras" xr:uid="{00000000-0004-0000-0400-00000F000000}"/>
    <hyperlink ref="B22" location="'17PGIRS'!_Toc467769484" display="Porcentaje de Planes de Gestión Integral de Residuos Sólidos (PGIRS) con seguimiento a metas de aprovechamiento" xr:uid="{00000000-0004-0000-0400-000010000000}"/>
    <hyperlink ref="B23" location="'18Sector'!_Toc467769485" display="Porcentaje de sectores con acompañamiento para la reconversión hacia sistemas sostenibles de producción" xr:uid="{00000000-0004-0000-0400-000011000000}"/>
    <hyperlink ref="B24" location="'19GAU'!_Toc467769486" display="Porcentaje de ejecución de acciones en Gestión Ambiental Urbana" xr:uid="{00000000-0004-0000-0400-000012000000}"/>
    <hyperlink ref="B25" location="'20Negoc'!_Toc467769487" display="Implementación del Programa Regional de Negocios Verdes por la autoridad ambiental" xr:uid="{00000000-0004-0000-0400-000013000000}"/>
    <hyperlink ref="B27" location="'22Autor'!_Toc467769489" display="Porcentaje de autorizaciones ambientales con seguimiento" xr:uid="{00000000-0004-0000-0400-000014000000}"/>
    <hyperlink ref="B28" location="'23Sanc'!_Toc467769490" display="Porcentaje de Procesos Sancionatorios Resueltos" xr:uid="{00000000-0004-0000-0400-000015000000}"/>
    <hyperlink ref="B29" location="'24POT'!_Toc467769491" display="Porcentaje de municipios asesorados o asistidos en la inclusión del componente ambiental en los procesos de planificación y ordenamiento territorial, con énfasis en la incorporación de las determinantes ambientales para la revisión y ajuste de los POT" xr:uid="{00000000-0004-0000-0400-000016000000}"/>
    <hyperlink ref="B30" location="'25Redes'!_Toc467769492" display="Porcentaje de redes y estaciones de monitoreo en operación" xr:uid="{00000000-0004-0000-0400-000017000000}"/>
    <hyperlink ref="B31" location="'26SIAC'!_Toc467769493" display="Porcentaje de actualización y reporte de la información en el SIAC" xr:uid="{00000000-0004-0000-0400-000018000000}"/>
    <hyperlink ref="B32" location="'27Educa'!_Toc467769494" display="Ejecución de Acciones en Educación Ambiental" xr:uid="{00000000-0004-0000-0400-000019000000}"/>
    <hyperlink ref="B26" location="'21TiempoT'!_Toc467769488" display="Tiempo promedio de trámite para la resolución de autorizaciones ambientales otorgadas por la corporación" xr:uid="{00000000-0004-0000-0400-00001A000000}"/>
  </hyperlinks>
  <pageMargins left="0.7" right="0.7" top="0.75" bottom="0.75" header="0.3" footer="0.3"/>
  <pageSetup paperSize="178" orientation="portrait" horizontalDpi="1200" verticalDpi="12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1">
    <tabColor theme="0"/>
  </sheetPr>
  <dimension ref="A1:U176"/>
  <sheetViews>
    <sheetView showGridLines="0" zoomScale="90" zoomScaleNormal="90" workbookViewId="0">
      <selection activeCell="K20" sqref="K20"/>
    </sheetView>
  </sheetViews>
  <sheetFormatPr baseColWidth="10" defaultColWidth="11.5546875" defaultRowHeight="14.4"/>
  <cols>
    <col min="1" max="1" width="1.88671875" customWidth="1"/>
    <col min="2" max="2" width="12.88671875" style="5" customWidth="1"/>
    <col min="3" max="3" width="7.6640625" style="66" customWidth="1"/>
    <col min="4" max="4" width="34.88671875" customWidth="1"/>
    <col min="5" max="5" width="19.109375" customWidth="1"/>
    <col min="6" max="6" width="22.5546875" customWidth="1"/>
    <col min="9" max="9" width="13.44140625" customWidth="1"/>
    <col min="10" max="10" width="12.88671875" customWidth="1"/>
    <col min="11" max="11" width="70.44140625" customWidth="1"/>
  </cols>
  <sheetData>
    <row r="1" spans="1:21" s="314" customFormat="1" ht="100.5" customHeight="1" thickBot="1">
      <c r="A1" s="1421"/>
      <c r="B1" s="1422"/>
      <c r="C1" s="1422"/>
      <c r="D1" s="1422"/>
      <c r="E1" s="1422"/>
      <c r="F1" s="1422"/>
      <c r="G1" s="1422"/>
      <c r="H1" s="1422"/>
      <c r="I1" s="1422"/>
      <c r="J1" s="1422"/>
      <c r="K1" s="1422"/>
      <c r="L1" s="1422"/>
      <c r="M1" s="1422"/>
      <c r="N1" s="1422"/>
      <c r="O1" s="1422"/>
      <c r="P1" s="1423"/>
      <c r="Q1"/>
      <c r="R1"/>
    </row>
    <row r="2" spans="1:21" s="315" customFormat="1" ht="16.2" thickBot="1">
      <c r="A2" s="1418" t="str">
        <f>+'Datos Generales'!C5</f>
        <v>Corporación Autónoma Regional del Atlántico – CRA</v>
      </c>
      <c r="B2" s="1419"/>
      <c r="C2" s="1419"/>
      <c r="D2" s="1419"/>
      <c r="E2" s="1419"/>
      <c r="F2" s="1419"/>
      <c r="G2" s="1419"/>
      <c r="H2" s="1419"/>
      <c r="I2" s="1419"/>
      <c r="J2" s="1419"/>
      <c r="K2" s="1419"/>
      <c r="L2" s="1419"/>
      <c r="M2" s="1419"/>
      <c r="N2" s="1419"/>
      <c r="O2" s="1419"/>
      <c r="P2" s="1420"/>
      <c r="Q2"/>
      <c r="R2"/>
    </row>
    <row r="3" spans="1:21" s="315" customFormat="1" ht="16.2" thickBot="1">
      <c r="A3" s="1426" t="s">
        <v>1295</v>
      </c>
      <c r="B3" s="1427"/>
      <c r="C3" s="1427"/>
      <c r="D3" s="1427"/>
      <c r="E3" s="1427"/>
      <c r="F3" s="1427"/>
      <c r="G3" s="1427"/>
      <c r="H3" s="1427"/>
      <c r="I3" s="1427"/>
      <c r="J3" s="1427"/>
      <c r="K3" s="1427"/>
      <c r="L3" s="1427"/>
      <c r="M3" s="1427"/>
      <c r="N3" s="1427"/>
      <c r="O3" s="1427"/>
      <c r="P3" s="1428"/>
      <c r="Q3"/>
      <c r="R3"/>
    </row>
    <row r="4" spans="1:21" s="315" customFormat="1" ht="16.2" thickBot="1">
      <c r="A4" s="1424" t="s">
        <v>1294</v>
      </c>
      <c r="B4" s="1425"/>
      <c r="C4" s="1425"/>
      <c r="D4" s="1425"/>
      <c r="E4" s="322" t="str">
        <f>+'Datos Generales'!C6</f>
        <v>2023-II</v>
      </c>
      <c r="F4" s="322"/>
      <c r="G4" s="322"/>
      <c r="H4" s="322"/>
      <c r="I4" s="322"/>
      <c r="J4" s="322"/>
      <c r="K4" s="322"/>
      <c r="L4" s="323"/>
      <c r="M4" s="323"/>
      <c r="N4" s="323"/>
      <c r="O4" s="323"/>
      <c r="P4" s="324"/>
      <c r="Q4"/>
      <c r="R4"/>
    </row>
    <row r="5" spans="1:21" ht="16.5" customHeight="1" thickBot="1">
      <c r="A5" s="1426" t="s">
        <v>0</v>
      </c>
      <c r="B5" s="1427"/>
      <c r="C5" s="1427"/>
      <c r="D5" s="1427"/>
      <c r="E5" s="1427"/>
      <c r="F5" s="1427"/>
      <c r="G5" s="1427"/>
      <c r="H5" s="1427"/>
      <c r="I5" s="1427"/>
      <c r="J5" s="1427"/>
      <c r="K5" s="1427"/>
      <c r="L5" s="1427"/>
      <c r="M5" s="1427"/>
      <c r="N5" s="1427"/>
      <c r="O5" s="1427"/>
      <c r="P5" s="1428"/>
    </row>
    <row r="6" spans="1:21">
      <c r="B6" s="1" t="s">
        <v>1</v>
      </c>
      <c r="C6" s="64"/>
      <c r="D6" s="5"/>
      <c r="E6" s="328"/>
      <c r="F6" s="5" t="s">
        <v>127</v>
      </c>
      <c r="G6" s="5"/>
      <c r="H6" s="5"/>
      <c r="I6" s="5"/>
      <c r="J6" s="5"/>
      <c r="K6" s="5"/>
      <c r="L6" s="5"/>
    </row>
    <row r="7" spans="1:21" ht="15" thickBot="1">
      <c r="B7" s="63"/>
      <c r="C7" s="65"/>
      <c r="D7" s="5"/>
      <c r="E7" s="14"/>
      <c r="F7" s="5" t="s">
        <v>128</v>
      </c>
      <c r="G7" s="5"/>
      <c r="H7" s="5"/>
      <c r="I7" s="5"/>
      <c r="J7" s="5"/>
      <c r="K7" s="5"/>
      <c r="L7" s="5"/>
    </row>
    <row r="8" spans="1:21" ht="15" thickBot="1">
      <c r="B8" s="143" t="s">
        <v>1180</v>
      </c>
      <c r="C8" s="693">
        <v>2023</v>
      </c>
      <c r="D8" s="171">
        <v>0.8</v>
      </c>
      <c r="E8" s="185"/>
      <c r="F8" s="5" t="s">
        <v>129</v>
      </c>
      <c r="G8" s="5"/>
      <c r="H8" s="5"/>
      <c r="I8" s="5"/>
      <c r="J8" s="5"/>
      <c r="K8" s="5"/>
    </row>
    <row r="9" spans="1:21">
      <c r="B9" s="300" t="s">
        <v>1181</v>
      </c>
      <c r="C9" s="67"/>
      <c r="D9" s="5"/>
      <c r="E9" s="5"/>
      <c r="F9" s="5"/>
      <c r="G9" s="5"/>
      <c r="H9" s="5"/>
      <c r="I9" s="5"/>
      <c r="J9" s="5"/>
      <c r="K9" s="5"/>
    </row>
    <row r="10" spans="1:21">
      <c r="B10" s="1429" t="s">
        <v>1236</v>
      </c>
      <c r="C10" s="1429"/>
      <c r="D10" s="1429"/>
      <c r="E10" s="303" t="s">
        <v>1233</v>
      </c>
      <c r="F10" s="1436"/>
      <c r="G10" s="1437"/>
      <c r="H10" s="1437"/>
      <c r="I10" s="1437"/>
      <c r="J10" s="1437"/>
      <c r="K10" s="1437"/>
      <c r="L10" s="1437"/>
      <c r="M10" s="1437"/>
      <c r="N10" s="1437"/>
      <c r="O10" s="1437"/>
      <c r="P10" s="1437"/>
      <c r="Q10" s="1437"/>
      <c r="R10" s="1437"/>
      <c r="S10" s="1437"/>
      <c r="T10" s="5"/>
      <c r="U10" s="5"/>
    </row>
    <row r="11" spans="1:21" ht="14.4" customHeight="1">
      <c r="B11" s="302"/>
      <c r="C11" s="67"/>
      <c r="D11" s="144" t="str">
        <f>IF(E10="SI APLICA","¿El indicador no se reporta por limitaciones de información disponible? ","")</f>
        <v xml:space="preserve">¿El indicador no se reporta por limitaciones de información disponible? </v>
      </c>
      <c r="E11" s="304" t="s">
        <v>1235</v>
      </c>
      <c r="F11" s="1430"/>
      <c r="G11" s="1431"/>
      <c r="H11" s="1431"/>
      <c r="I11" s="1431"/>
      <c r="J11" s="1431"/>
      <c r="K11" s="1431"/>
      <c r="L11" s="1431"/>
      <c r="M11" s="1431"/>
      <c r="N11" s="1431"/>
      <c r="O11" s="1431"/>
      <c r="P11" s="1431"/>
      <c r="Q11" s="1431"/>
      <c r="R11" s="1431"/>
      <c r="S11" s="1431"/>
    </row>
    <row r="12" spans="1:21" ht="30.75" customHeight="1">
      <c r="B12" s="300"/>
      <c r="C12" s="67"/>
      <c r="D12" s="313" t="str">
        <f>IF(E11="SI SE REPORTA","¿Qué programas o proyectos del Plan de Acción están asociados al indicador? ","")</f>
        <v xml:space="preserve">¿Qué programas o proyectos del Plan de Acción están asociados al indicador? </v>
      </c>
      <c r="E12" s="1432" t="s">
        <v>1806</v>
      </c>
      <c r="F12" s="1432"/>
      <c r="G12" s="1432"/>
      <c r="H12" s="1432"/>
      <c r="I12" s="1432"/>
      <c r="J12" s="1432"/>
      <c r="K12" s="1432"/>
      <c r="L12" s="1432"/>
      <c r="M12" s="1432"/>
      <c r="N12" s="1432"/>
      <c r="O12" s="1432"/>
      <c r="P12" s="1432"/>
      <c r="Q12" s="1432"/>
      <c r="R12" s="1432"/>
    </row>
    <row r="13" spans="1:21" ht="21.9" customHeight="1">
      <c r="B13" s="300"/>
      <c r="C13" s="67"/>
      <c r="D13" s="144" t="s">
        <v>1238</v>
      </c>
      <c r="E13" s="1433"/>
      <c r="F13" s="1434"/>
      <c r="G13" s="1434"/>
      <c r="H13" s="1434"/>
      <c r="I13" s="1434"/>
      <c r="J13" s="1434"/>
      <c r="K13" s="1434"/>
      <c r="L13" s="1434"/>
      <c r="M13" s="1434"/>
      <c r="N13" s="1434"/>
      <c r="O13" s="1434"/>
      <c r="P13" s="1434"/>
      <c r="Q13" s="1434"/>
      <c r="R13" s="1435"/>
    </row>
    <row r="14" spans="1:21" ht="6.9" customHeight="1" thickBot="1">
      <c r="B14" s="300"/>
      <c r="C14" s="67"/>
      <c r="D14" s="5"/>
      <c r="E14" s="5"/>
      <c r="F14" s="5"/>
      <c r="G14" s="5"/>
      <c r="H14" s="5"/>
      <c r="I14" s="5"/>
      <c r="J14" s="5"/>
      <c r="K14" s="5"/>
    </row>
    <row r="15" spans="1:21" ht="18" customHeight="1" thickBot="1">
      <c r="B15" s="1483" t="s">
        <v>2</v>
      </c>
      <c r="C15" s="81"/>
      <c r="D15" s="1450" t="s">
        <v>3</v>
      </c>
      <c r="E15" s="1451"/>
      <c r="F15" s="1451"/>
      <c r="G15" s="1451"/>
      <c r="H15" s="1451"/>
      <c r="I15" s="1451"/>
      <c r="J15" s="1451"/>
      <c r="K15" s="1452"/>
    </row>
    <row r="16" spans="1:21" ht="51" customHeight="1" thickBot="1">
      <c r="B16" s="1484"/>
      <c r="C16" s="87"/>
      <c r="D16" s="34" t="s">
        <v>4</v>
      </c>
      <c r="E16" s="441">
        <v>4</v>
      </c>
      <c r="F16" s="751" t="s">
        <v>1964</v>
      </c>
      <c r="G16" s="5"/>
      <c r="H16" s="5"/>
      <c r="I16" s="5"/>
      <c r="J16" s="5"/>
      <c r="K16" s="17"/>
    </row>
    <row r="17" spans="2:11" ht="41.25" customHeight="1" thickBot="1">
      <c r="B17" s="1484"/>
      <c r="C17" s="87"/>
      <c r="D17" s="32" t="s">
        <v>5</v>
      </c>
      <c r="E17" s="441">
        <v>2</v>
      </c>
      <c r="F17" s="752" t="s">
        <v>1965</v>
      </c>
      <c r="G17" s="5"/>
      <c r="H17" s="5"/>
      <c r="I17" s="5"/>
      <c r="J17" s="5"/>
      <c r="K17" s="17"/>
    </row>
    <row r="18" spans="2:11" ht="36.6" thickBot="1">
      <c r="B18" s="1484"/>
      <c r="C18" s="87"/>
      <c r="D18" s="32" t="s">
        <v>1818</v>
      </c>
      <c r="E18" s="441">
        <v>1</v>
      </c>
      <c r="F18" s="753" t="s">
        <v>1966</v>
      </c>
      <c r="G18" s="5"/>
      <c r="H18" s="5"/>
      <c r="I18" s="5"/>
      <c r="J18" s="5"/>
      <c r="K18" s="17"/>
    </row>
    <row r="19" spans="2:11" ht="30.75" customHeight="1" thickBot="1">
      <c r="B19" s="1484"/>
      <c r="C19" s="87"/>
      <c r="D19" s="32" t="s">
        <v>1655</v>
      </c>
      <c r="E19" s="441">
        <v>2</v>
      </c>
      <c r="F19" s="752" t="s">
        <v>1967</v>
      </c>
      <c r="G19" s="5"/>
      <c r="H19" s="5"/>
      <c r="I19" s="5"/>
      <c r="J19" s="5"/>
      <c r="K19" s="17"/>
    </row>
    <row r="20" spans="2:11" ht="31.5" customHeight="1" thickBot="1">
      <c r="B20" s="1484"/>
      <c r="C20" s="87"/>
      <c r="D20" s="32" t="s">
        <v>1656</v>
      </c>
      <c r="E20" s="441">
        <v>1</v>
      </c>
      <c r="F20" s="754" t="s">
        <v>1968</v>
      </c>
      <c r="G20" s="789"/>
      <c r="H20" s="5"/>
      <c r="I20" s="5"/>
      <c r="J20" s="5"/>
      <c r="K20" s="17"/>
    </row>
    <row r="21" spans="2:11" ht="48" customHeight="1" thickBot="1">
      <c r="B21" s="1485"/>
      <c r="C21" s="87"/>
      <c r="D21" s="32" t="s">
        <v>1657</v>
      </c>
      <c r="E21" s="441">
        <v>0</v>
      </c>
      <c r="F21" s="755" t="s">
        <v>1807</v>
      </c>
      <c r="G21" s="5"/>
      <c r="H21" s="5"/>
      <c r="I21" s="5"/>
      <c r="J21" s="5"/>
      <c r="K21" s="17"/>
    </row>
    <row r="22" spans="2:11" ht="14.1" customHeight="1">
      <c r="B22" s="222"/>
      <c r="C22" s="82"/>
      <c r="D22" s="1453" t="s">
        <v>6</v>
      </c>
      <c r="E22" s="1454"/>
      <c r="F22" s="1454"/>
      <c r="G22" s="1454"/>
      <c r="H22" s="1454"/>
      <c r="I22" s="1454"/>
      <c r="J22" s="1454"/>
      <c r="K22" s="1455"/>
    </row>
    <row r="23" spans="2:11" ht="14.1" customHeight="1" thickBot="1">
      <c r="B23" s="222"/>
      <c r="C23" s="82"/>
      <c r="D23" s="1453" t="s">
        <v>7</v>
      </c>
      <c r="E23" s="1454"/>
      <c r="F23" s="1454"/>
      <c r="G23" s="1454"/>
      <c r="H23" s="1454"/>
      <c r="I23" s="1454"/>
      <c r="J23" s="1454"/>
      <c r="K23" s="1455"/>
    </row>
    <row r="24" spans="2:11" ht="54" customHeight="1" thickBot="1">
      <c r="B24" s="222"/>
      <c r="C24" s="176"/>
      <c r="D24" s="443" t="s">
        <v>8</v>
      </c>
      <c r="E24" s="443" t="s">
        <v>9</v>
      </c>
      <c r="F24" s="443" t="s">
        <v>10</v>
      </c>
      <c r="G24" s="443" t="s">
        <v>1182</v>
      </c>
      <c r="H24" s="443" t="s">
        <v>1974</v>
      </c>
      <c r="I24" s="443" t="s">
        <v>1973</v>
      </c>
      <c r="J24" s="1476" t="s">
        <v>54</v>
      </c>
      <c r="K24" s="1477"/>
    </row>
    <row r="25" spans="2:11" s="151" customFormat="1" ht="80.25" customHeight="1" thickBot="1">
      <c r="B25" s="179"/>
      <c r="C25" s="176">
        <v>2</v>
      </c>
      <c r="D25" s="449" t="s">
        <v>11</v>
      </c>
      <c r="E25" s="694">
        <v>2904</v>
      </c>
      <c r="F25" s="453" t="s">
        <v>1808</v>
      </c>
      <c r="G25" s="450">
        <v>113220</v>
      </c>
      <c r="H25" s="451" t="s">
        <v>1202</v>
      </c>
      <c r="I25" s="452">
        <v>0.98</v>
      </c>
      <c r="J25" s="1465" t="s">
        <v>2030</v>
      </c>
      <c r="K25" s="1466"/>
    </row>
    <row r="26" spans="2:11" s="151" customFormat="1" ht="51" customHeight="1" thickBot="1">
      <c r="B26" s="179"/>
      <c r="C26" s="176">
        <v>3</v>
      </c>
      <c r="D26" s="449" t="s">
        <v>11</v>
      </c>
      <c r="E26" s="695">
        <v>2909</v>
      </c>
      <c r="F26" s="454" t="s">
        <v>1809</v>
      </c>
      <c r="G26" s="450">
        <v>30180</v>
      </c>
      <c r="H26" s="451" t="s">
        <v>1810</v>
      </c>
      <c r="I26" s="452">
        <v>1</v>
      </c>
      <c r="J26" s="1465" t="s">
        <v>1945</v>
      </c>
      <c r="K26" s="1466"/>
    </row>
    <row r="27" spans="2:11" s="151" customFormat="1" ht="73.5" customHeight="1" thickBot="1">
      <c r="B27" s="179"/>
      <c r="C27" s="176">
        <v>4</v>
      </c>
      <c r="D27" s="449" t="s">
        <v>11</v>
      </c>
      <c r="E27" s="695">
        <v>2903</v>
      </c>
      <c r="F27" s="455" t="s">
        <v>1811</v>
      </c>
      <c r="G27" s="450">
        <v>441011</v>
      </c>
      <c r="H27" s="451" t="s">
        <v>1202</v>
      </c>
      <c r="I27" s="452">
        <v>0.98</v>
      </c>
      <c r="J27" s="1467" t="s">
        <v>1963</v>
      </c>
      <c r="K27" s="1468"/>
    </row>
    <row r="28" spans="2:11" s="151" customFormat="1" ht="141.75" customHeight="1" thickBot="1">
      <c r="B28" s="179"/>
      <c r="C28" s="176">
        <v>5</v>
      </c>
      <c r="D28" s="449" t="s">
        <v>12</v>
      </c>
      <c r="E28" s="695"/>
      <c r="F28" s="455" t="s">
        <v>1946</v>
      </c>
      <c r="G28" s="450"/>
      <c r="H28" s="451" t="s">
        <v>1813</v>
      </c>
      <c r="I28" s="452">
        <v>0.8</v>
      </c>
      <c r="J28" s="1465" t="s">
        <v>2803</v>
      </c>
      <c r="K28" s="1466"/>
    </row>
    <row r="29" spans="2:11" ht="14.1" customHeight="1">
      <c r="B29" s="222"/>
      <c r="C29" s="82"/>
      <c r="D29" s="1441" t="s">
        <v>14</v>
      </c>
      <c r="E29" s="1442"/>
      <c r="F29" s="1442"/>
      <c r="G29" s="1442"/>
      <c r="H29" s="1442"/>
      <c r="I29" s="1442"/>
      <c r="J29" s="1442"/>
      <c r="K29" s="1443"/>
    </row>
    <row r="30" spans="2:11" ht="14.1" customHeight="1">
      <c r="B30" s="222"/>
      <c r="C30" s="82"/>
      <c r="D30" s="1486" t="s">
        <v>15</v>
      </c>
      <c r="E30" s="1487"/>
      <c r="F30" s="1487"/>
      <c r="G30" s="1487"/>
      <c r="H30" s="1487"/>
      <c r="I30" s="1487"/>
      <c r="J30" s="1487"/>
      <c r="K30" s="1488"/>
    </row>
    <row r="31" spans="2:11" ht="14.1" customHeight="1">
      <c r="B31" s="222"/>
      <c r="C31" s="82"/>
      <c r="D31" s="1486" t="s">
        <v>16</v>
      </c>
      <c r="E31" s="1487"/>
      <c r="F31" s="1487"/>
      <c r="G31" s="1487"/>
      <c r="H31" s="1487"/>
      <c r="I31" s="1487"/>
      <c r="J31" s="1487"/>
      <c r="K31" s="1488"/>
    </row>
    <row r="32" spans="2:11" ht="14.1" customHeight="1">
      <c r="B32" s="222"/>
      <c r="C32" s="82"/>
      <c r="D32" s="1486" t="s">
        <v>17</v>
      </c>
      <c r="E32" s="1487"/>
      <c r="F32" s="1487"/>
      <c r="G32" s="1487"/>
      <c r="H32" s="1487"/>
      <c r="I32" s="1487"/>
      <c r="J32" s="1487"/>
      <c r="K32" s="1488"/>
    </row>
    <row r="33" spans="2:11" ht="16.5" customHeight="1" thickBot="1">
      <c r="B33" s="222"/>
      <c r="C33" s="82"/>
      <c r="D33" s="1444" t="s">
        <v>1917</v>
      </c>
      <c r="E33" s="1445"/>
      <c r="F33" s="1445"/>
      <c r="G33" s="1445"/>
      <c r="H33" s="1445"/>
      <c r="I33" s="1445"/>
      <c r="J33" s="1445"/>
      <c r="K33" s="1446"/>
    </row>
    <row r="34" spans="2:11" s="476" customFormat="1" ht="38.25" customHeight="1" thickBot="1">
      <c r="B34" s="565"/>
      <c r="C34" s="442" t="s">
        <v>18</v>
      </c>
      <c r="D34" s="442" t="s">
        <v>8</v>
      </c>
      <c r="E34" s="442" t="s">
        <v>9</v>
      </c>
      <c r="F34" s="442" t="s">
        <v>10</v>
      </c>
      <c r="G34" s="698" t="s">
        <v>19</v>
      </c>
      <c r="H34" s="698" t="s">
        <v>20</v>
      </c>
      <c r="I34" s="698" t="s">
        <v>21</v>
      </c>
      <c r="J34" s="698" t="s">
        <v>22</v>
      </c>
      <c r="K34" s="566"/>
    </row>
    <row r="35" spans="2:11" s="456" customFormat="1" ht="56.25" customHeight="1" thickBot="1">
      <c r="B35" s="457"/>
      <c r="C35" s="458">
        <v>2</v>
      </c>
      <c r="D35" s="449" t="s">
        <v>11</v>
      </c>
      <c r="E35" s="444"/>
      <c r="F35" s="453" t="s">
        <v>1808</v>
      </c>
      <c r="G35" s="462">
        <v>1</v>
      </c>
      <c r="H35" s="462"/>
      <c r="I35" s="462"/>
      <c r="J35" s="462"/>
      <c r="K35" s="460"/>
    </row>
    <row r="36" spans="2:11" s="456" customFormat="1" ht="63.75" customHeight="1" thickBot="1">
      <c r="B36" s="457"/>
      <c r="C36" s="458">
        <v>3</v>
      </c>
      <c r="D36" s="449" t="s">
        <v>11</v>
      </c>
      <c r="E36" s="444"/>
      <c r="F36" s="461" t="s">
        <v>1811</v>
      </c>
      <c r="G36" s="462"/>
      <c r="H36" s="462">
        <v>1</v>
      </c>
      <c r="I36" s="462"/>
      <c r="J36" s="462"/>
      <c r="K36" s="460"/>
    </row>
    <row r="37" spans="2:11" s="456" customFormat="1" ht="56.25" customHeight="1" thickBot="1">
      <c r="B37" s="457"/>
      <c r="C37" s="458">
        <v>4</v>
      </c>
      <c r="D37" s="449" t="s">
        <v>12</v>
      </c>
      <c r="E37" s="449"/>
      <c r="F37" s="455" t="s">
        <v>1812</v>
      </c>
      <c r="G37" s="462"/>
      <c r="H37" s="462"/>
      <c r="I37" s="462"/>
      <c r="J37" s="462">
        <v>0.5</v>
      </c>
      <c r="K37" s="460"/>
    </row>
    <row r="38" spans="2:11" s="456" customFormat="1" ht="56.25" hidden="1" customHeight="1" thickBot="1">
      <c r="B38" s="457"/>
      <c r="C38" s="458">
        <v>5</v>
      </c>
      <c r="D38" s="449"/>
      <c r="E38" s="449"/>
      <c r="F38" s="455"/>
      <c r="G38" s="26"/>
      <c r="H38" s="26"/>
      <c r="I38" s="26"/>
      <c r="J38" s="26"/>
      <c r="K38" s="460"/>
    </row>
    <row r="39" spans="2:11" s="456" customFormat="1" ht="27.75" hidden="1" customHeight="1" thickBot="1">
      <c r="B39" s="457"/>
      <c r="C39" s="458">
        <v>6</v>
      </c>
      <c r="D39" s="274"/>
      <c r="E39" s="274"/>
      <c r="F39" s="274"/>
      <c r="G39" s="446"/>
      <c r="H39" s="446"/>
      <c r="I39" s="446"/>
      <c r="J39" s="446"/>
      <c r="K39" s="459"/>
    </row>
    <row r="40" spans="2:11" ht="14.1" customHeight="1">
      <c r="B40" s="222"/>
      <c r="C40" s="82"/>
      <c r="D40" s="1450" t="s">
        <v>23</v>
      </c>
      <c r="E40" s="1451"/>
      <c r="F40" s="1451"/>
      <c r="G40" s="1451"/>
      <c r="H40" s="1451"/>
      <c r="I40" s="1451"/>
      <c r="J40" s="1451"/>
      <c r="K40" s="1452"/>
    </row>
    <row r="41" spans="2:11" ht="14.1" customHeight="1" thickBot="1">
      <c r="B41" s="222"/>
      <c r="C41" s="82"/>
      <c r="D41" s="1444" t="s">
        <v>24</v>
      </c>
      <c r="E41" s="1445"/>
      <c r="F41" s="1445"/>
      <c r="G41" s="1445"/>
      <c r="H41" s="1445"/>
      <c r="I41" s="1445"/>
      <c r="J41" s="1445"/>
      <c r="K41" s="1446"/>
    </row>
    <row r="42" spans="2:11" ht="33" customHeight="1" thickBot="1">
      <c r="B42" s="222"/>
      <c r="C42" s="77" t="s">
        <v>18</v>
      </c>
      <c r="D42" s="34" t="s">
        <v>8</v>
      </c>
      <c r="E42" s="34" t="s">
        <v>25</v>
      </c>
      <c r="F42" s="34" t="s">
        <v>10</v>
      </c>
      <c r="G42" s="69" t="s">
        <v>19</v>
      </c>
      <c r="H42" s="69" t="s">
        <v>20</v>
      </c>
      <c r="I42" s="69" t="s">
        <v>21</v>
      </c>
      <c r="J42" s="69" t="s">
        <v>22</v>
      </c>
      <c r="K42" s="466"/>
    </row>
    <row r="43" spans="2:11" s="456" customFormat="1" ht="48.75" customHeight="1" thickBot="1">
      <c r="B43" s="457"/>
      <c r="C43" s="458">
        <v>2</v>
      </c>
      <c r="D43" s="464" t="str">
        <f t="shared" ref="D43:F45" si="0">IF(ISBLANK(D35),"",D35)</f>
        <v>POMCA</v>
      </c>
      <c r="E43" s="464" t="str">
        <f t="shared" si="0"/>
        <v/>
      </c>
      <c r="F43" s="465" t="str">
        <f t="shared" si="0"/>
        <v>Cuenca del complejo de humedades del Rio Magdalena</v>
      </c>
      <c r="G43" s="462">
        <v>0.98</v>
      </c>
      <c r="H43" s="462">
        <v>0.98</v>
      </c>
      <c r="I43" s="462">
        <v>0.98</v>
      </c>
      <c r="J43" s="462"/>
      <c r="K43" s="447"/>
    </row>
    <row r="44" spans="2:11" s="456" customFormat="1" ht="36" customHeight="1" thickBot="1">
      <c r="B44" s="457"/>
      <c r="C44" s="458">
        <v>3</v>
      </c>
      <c r="D44" s="464" t="str">
        <f t="shared" si="0"/>
        <v>POMCA</v>
      </c>
      <c r="E44" s="464" t="str">
        <f t="shared" si="0"/>
        <v/>
      </c>
      <c r="F44" s="465" t="str">
        <f t="shared" si="0"/>
        <v>Cuencas Hidrográficas del Canal del Dique.</v>
      </c>
      <c r="G44" s="462"/>
      <c r="H44" s="462">
        <v>0.98</v>
      </c>
      <c r="I44" s="462">
        <v>0.98</v>
      </c>
      <c r="J44" s="462"/>
      <c r="K44" s="447"/>
    </row>
    <row r="45" spans="2:11" s="456" customFormat="1" ht="49.5" customHeight="1" thickBot="1">
      <c r="B45" s="457"/>
      <c r="C45" s="458">
        <v>4</v>
      </c>
      <c r="D45" s="464" t="str">
        <f t="shared" si="0"/>
        <v>PMA</v>
      </c>
      <c r="E45" s="464" t="str">
        <f t="shared" si="0"/>
        <v/>
      </c>
      <c r="F45" s="465" t="str">
        <f t="shared" si="0"/>
        <v>Sistema de acuifero de Sabanalarga- Tubara</v>
      </c>
      <c r="G45" s="696"/>
      <c r="H45" s="697"/>
      <c r="I45" s="697"/>
      <c r="J45" s="788">
        <v>0.5</v>
      </c>
      <c r="K45" s="447"/>
    </row>
    <row r="46" spans="2:11" s="151" customFormat="1" ht="24" customHeight="1" thickBot="1">
      <c r="B46" s="179"/>
      <c r="C46" s="176">
        <v>13</v>
      </c>
      <c r="D46" s="182" t="e">
        <f>IF(ISBLANK(#REF!),"",#REF!)</f>
        <v>#REF!</v>
      </c>
      <c r="E46" s="182" t="e">
        <f>IF(ISBLANK(#REF!),"",#REF!)</f>
        <v>#REF!</v>
      </c>
      <c r="F46" s="182" t="e">
        <f>IF(ISBLANK(#REF!),"",#REF!)</f>
        <v>#REF!</v>
      </c>
      <c r="G46" s="26"/>
      <c r="H46" s="26"/>
      <c r="I46" s="26"/>
      <c r="J46" s="26"/>
      <c r="K46" s="90"/>
    </row>
    <row r="47" spans="2:11" ht="14.1" customHeight="1">
      <c r="B47" s="222"/>
      <c r="C47" s="82"/>
      <c r="D47" s="1450" t="s">
        <v>14</v>
      </c>
      <c r="E47" s="1451"/>
      <c r="F47" s="1451"/>
      <c r="G47" s="1451"/>
      <c r="H47" s="1451"/>
      <c r="I47" s="1451"/>
      <c r="J47" s="1451"/>
      <c r="K47" s="1452"/>
    </row>
    <row r="48" spans="2:11" ht="14.1" customHeight="1">
      <c r="B48" s="222"/>
      <c r="C48" s="82"/>
      <c r="D48" s="1441" t="s">
        <v>26</v>
      </c>
      <c r="E48" s="1442"/>
      <c r="F48" s="1442"/>
      <c r="G48" s="1442"/>
      <c r="H48" s="1442"/>
      <c r="I48" s="1442"/>
      <c r="J48" s="1442"/>
      <c r="K48" s="1443"/>
    </row>
    <row r="49" spans="2:11" ht="14.1" customHeight="1" thickBot="1">
      <c r="B49" s="222"/>
      <c r="C49" s="82"/>
      <c r="D49" s="1444" t="s">
        <v>27</v>
      </c>
      <c r="E49" s="1445"/>
      <c r="F49" s="1445"/>
      <c r="G49" s="1445"/>
      <c r="H49" s="1445"/>
      <c r="I49" s="1445"/>
      <c r="J49" s="1445"/>
      <c r="K49" s="1446"/>
    </row>
    <row r="50" spans="2:11" ht="36.75" customHeight="1" thickBot="1">
      <c r="B50" s="222"/>
      <c r="C50" s="214" t="s">
        <v>18</v>
      </c>
      <c r="D50" s="59" t="s">
        <v>8</v>
      </c>
      <c r="E50" s="59" t="s">
        <v>25</v>
      </c>
      <c r="F50" s="59" t="s">
        <v>10</v>
      </c>
      <c r="G50" s="57" t="s">
        <v>19</v>
      </c>
      <c r="H50" s="57" t="s">
        <v>20</v>
      </c>
      <c r="I50" s="57" t="s">
        <v>21</v>
      </c>
      <c r="J50" s="57" t="s">
        <v>22</v>
      </c>
      <c r="K50" s="92"/>
    </row>
    <row r="51" spans="2:11" ht="25.5" customHeight="1" thickBot="1">
      <c r="B51" s="222"/>
      <c r="C51" s="2">
        <v>1</v>
      </c>
      <c r="D51" s="215" t="e">
        <f>IF(ISBLANK(#REF!),"",#REF!)</f>
        <v>#REF!</v>
      </c>
      <c r="E51" s="215" t="e">
        <f>IF(ISBLANK(#REF!),"",#REF!)</f>
        <v>#REF!</v>
      </c>
      <c r="F51" s="215" t="e">
        <f>IF(ISBLANK(#REF!),"",#REF!)</f>
        <v>#REF!</v>
      </c>
      <c r="G51" s="411" t="str">
        <f>IFERROR(#REF!/#REF!,"N.A.")</f>
        <v>N.A.</v>
      </c>
      <c r="H51" s="216" t="str">
        <f>IFERROR(#REF!/#REF!,"N.A.")</f>
        <v>N.A.</v>
      </c>
      <c r="I51" s="216" t="str">
        <f>IFERROR(#REF!/#REF!,"N.A.")</f>
        <v>N.A.</v>
      </c>
      <c r="J51" s="216" t="str">
        <f>IFERROR(#REF!/#REF!,"N.A.")</f>
        <v>N.A.</v>
      </c>
      <c r="K51" s="93"/>
    </row>
    <row r="52" spans="2:11" ht="41.25" customHeight="1" thickBot="1">
      <c r="B52" s="222"/>
      <c r="C52" s="2">
        <v>2</v>
      </c>
      <c r="D52" s="215" t="str">
        <f t="shared" ref="D52:F54" si="1">IF(ISBLANK(D43),"",D43)</f>
        <v>POMCA</v>
      </c>
      <c r="E52" s="215" t="str">
        <f t="shared" si="1"/>
        <v/>
      </c>
      <c r="F52" s="567" t="str">
        <f t="shared" si="1"/>
        <v>Cuenca del complejo de humedades del Rio Magdalena</v>
      </c>
      <c r="G52" s="411">
        <f t="shared" ref="G52:J54" si="2">IFERROR(G43/G35,"N.A.")</f>
        <v>0.98</v>
      </c>
      <c r="H52" s="216" t="str">
        <f t="shared" si="2"/>
        <v>N.A.</v>
      </c>
      <c r="I52" s="216" t="str">
        <f t="shared" si="2"/>
        <v>N.A.</v>
      </c>
      <c r="J52" s="216" t="str">
        <f t="shared" si="2"/>
        <v>N.A.</v>
      </c>
      <c r="K52" s="93"/>
    </row>
    <row r="53" spans="2:11" ht="33" customHeight="1" thickBot="1">
      <c r="B53" s="222"/>
      <c r="C53" s="2">
        <v>3</v>
      </c>
      <c r="D53" s="215" t="str">
        <f t="shared" si="1"/>
        <v>POMCA</v>
      </c>
      <c r="E53" s="215" t="str">
        <f t="shared" si="1"/>
        <v/>
      </c>
      <c r="F53" s="567" t="str">
        <f t="shared" si="1"/>
        <v>Cuencas Hidrográficas del Canal del Dique.</v>
      </c>
      <c r="G53" s="216" t="str">
        <f t="shared" si="2"/>
        <v>N.A.</v>
      </c>
      <c r="H53" s="216">
        <f t="shared" si="2"/>
        <v>0.98</v>
      </c>
      <c r="I53" s="216">
        <v>0.98</v>
      </c>
      <c r="J53" s="216" t="str">
        <f t="shared" si="2"/>
        <v>N.A.</v>
      </c>
      <c r="K53" s="93"/>
    </row>
    <row r="54" spans="2:11" ht="35.25" customHeight="1" thickBot="1">
      <c r="B54" s="222"/>
      <c r="C54" s="2">
        <v>4</v>
      </c>
      <c r="D54" s="215" t="str">
        <f t="shared" si="1"/>
        <v>PMA</v>
      </c>
      <c r="E54" s="215" t="str">
        <f t="shared" si="1"/>
        <v/>
      </c>
      <c r="F54" s="567" t="str">
        <f t="shared" si="1"/>
        <v>Sistema de acuifero de Sabanalarga- Tubara</v>
      </c>
      <c r="G54" s="216" t="str">
        <f t="shared" si="2"/>
        <v>N.A.</v>
      </c>
      <c r="H54" s="216" t="str">
        <f t="shared" si="2"/>
        <v>N.A.</v>
      </c>
      <c r="I54" s="216" t="str">
        <f t="shared" si="2"/>
        <v>N.A.</v>
      </c>
      <c r="J54" s="216">
        <v>0.5</v>
      </c>
      <c r="K54" s="93"/>
    </row>
    <row r="55" spans="2:11" ht="14.1" customHeight="1">
      <c r="B55" s="222"/>
      <c r="C55" s="82"/>
      <c r="D55" s="1447"/>
      <c r="E55" s="1448"/>
      <c r="F55" s="1448"/>
      <c r="G55" s="1448"/>
      <c r="H55" s="1448"/>
      <c r="I55" s="1448"/>
      <c r="J55" s="1448"/>
      <c r="K55" s="1449"/>
    </row>
    <row r="56" spans="2:11" ht="14.1" customHeight="1" thickBot="1">
      <c r="B56" s="222"/>
      <c r="C56" s="82"/>
      <c r="D56" s="1444" t="s">
        <v>28</v>
      </c>
      <c r="E56" s="1445"/>
      <c r="F56" s="1445"/>
      <c r="G56" s="1445"/>
      <c r="H56" s="1445"/>
      <c r="I56" s="1445"/>
      <c r="J56" s="1445"/>
      <c r="K56" s="1446"/>
    </row>
    <row r="57" spans="2:11" ht="14.1" customHeight="1" thickBot="1">
      <c r="B57" s="222"/>
      <c r="C57" s="217" t="s">
        <v>18</v>
      </c>
      <c r="D57" s="57" t="s">
        <v>29</v>
      </c>
      <c r="E57" s="57" t="s">
        <v>30</v>
      </c>
      <c r="F57" s="57"/>
      <c r="G57" s="57" t="s">
        <v>19</v>
      </c>
      <c r="H57" s="57" t="s">
        <v>20</v>
      </c>
      <c r="I57" s="57" t="s">
        <v>21</v>
      </c>
      <c r="J57" s="57" t="s">
        <v>22</v>
      </c>
      <c r="K57" s="92"/>
    </row>
    <row r="58" spans="2:11" ht="14.1" customHeight="1" thickBot="1">
      <c r="B58" s="222"/>
      <c r="C58" s="79">
        <v>1</v>
      </c>
      <c r="D58" s="187" t="s">
        <v>31</v>
      </c>
      <c r="E58" s="26">
        <v>1</v>
      </c>
      <c r="F58" s="27"/>
      <c r="G58" s="412">
        <f ca="1">IFERROR(AVERAGEIF($D$51:$J$54,"POMCA",G$51:G$54),0)</f>
        <v>0.98</v>
      </c>
      <c r="H58" s="128">
        <f ca="1">IFERROR(AVERAGEIF($D$51:$J$54,"POMCA",H$51:H$54),0)</f>
        <v>0.98</v>
      </c>
      <c r="I58" s="128">
        <f ca="1">IFERROR(AVERAGEIF($D$51:$J$54,"POMCA",I$51:I$54),0)</f>
        <v>0.98</v>
      </c>
      <c r="J58" s="128">
        <f ca="1">IFERROR(AVERAGEIF($D$51:$J$54,"POMCA",J$51:J$54),0)</f>
        <v>0</v>
      </c>
      <c r="K58" s="90"/>
    </row>
    <row r="59" spans="2:11" ht="14.1" customHeight="1" thickBot="1">
      <c r="B59" s="222"/>
      <c r="C59" s="79">
        <v>2</v>
      </c>
      <c r="D59" s="187" t="s">
        <v>12</v>
      </c>
      <c r="E59" s="26">
        <v>0</v>
      </c>
      <c r="F59" s="27"/>
      <c r="G59" s="128">
        <f ca="1">IFERROR(AVERAGEIF($D$51:$J$54,"PMA",G$51:G$54),0)</f>
        <v>0</v>
      </c>
      <c r="H59" s="128">
        <f ca="1">IFERROR(AVERAGEIF($D$51:$J$54,"PMA",H$51:H$54),0)</f>
        <v>0</v>
      </c>
      <c r="I59" s="128">
        <f ca="1">IFERROR(AVERAGEIF($D$51:$J$54,"PMA",I$51:I$54),0)</f>
        <v>0</v>
      </c>
      <c r="J59" s="128">
        <f ca="1">IFERROR(AVERAGEIF($D$51:$J$54,"PMA",J$51:J$54),0)</f>
        <v>0.5</v>
      </c>
      <c r="K59" s="90"/>
    </row>
    <row r="60" spans="2:11" ht="14.1" customHeight="1" thickBot="1">
      <c r="B60" s="222"/>
      <c r="C60" s="79">
        <v>3</v>
      </c>
      <c r="D60" s="187" t="s">
        <v>13</v>
      </c>
      <c r="E60" s="26"/>
      <c r="F60" s="27"/>
      <c r="G60" s="128">
        <f ca="1">IFERROR(AVERAGEIF($D$51:$J$54,"PMM",G$51:G$54),0)</f>
        <v>0</v>
      </c>
      <c r="H60" s="128">
        <f ca="1">IFERROR(AVERAGEIF($D$51:$J$54,"PMM",H$51:H$54),0)</f>
        <v>0</v>
      </c>
      <c r="I60" s="128">
        <f ca="1">IFERROR(AVERAGEIF($D$51:$J$54,"PMM",I$51:I$54),0)</f>
        <v>0</v>
      </c>
      <c r="J60" s="128">
        <f ca="1">IFERROR(AVERAGEIF($D$51:$J$54,"PMM",J$51:J$54),0)</f>
        <v>0</v>
      </c>
      <c r="K60" s="90"/>
    </row>
    <row r="61" spans="2:11" ht="14.1" customHeight="1" thickBot="1">
      <c r="B61" s="222"/>
      <c r="D61" s="1478">
        <f>Formulas!$D$5</f>
        <v>1</v>
      </c>
      <c r="E61" s="1479"/>
      <c r="F61" s="311" t="s">
        <v>1242</v>
      </c>
      <c r="G61" s="413">
        <f ca="1">Formulas!E5</f>
        <v>0.98</v>
      </c>
      <c r="H61" s="152">
        <f ca="1">Formulas!F5</f>
        <v>0.98</v>
      </c>
      <c r="I61" s="152">
        <f ca="1">Formulas!G5</f>
        <v>0.98</v>
      </c>
      <c r="J61" s="152" t="str">
        <f ca="1">Formulas!H5</f>
        <v>N.A.</v>
      </c>
      <c r="K61" s="91"/>
    </row>
    <row r="62" spans="2:11" ht="14.1" customHeight="1">
      <c r="B62" s="222"/>
      <c r="C62" s="82"/>
      <c r="D62" s="1480"/>
      <c r="E62" s="1481"/>
      <c r="F62" s="1481"/>
      <c r="G62" s="1481"/>
      <c r="H62" s="1481"/>
      <c r="I62" s="1481"/>
      <c r="J62" s="1481"/>
      <c r="K62" s="1482"/>
    </row>
    <row r="63" spans="2:11" ht="14.1" customHeight="1">
      <c r="B63" s="222"/>
      <c r="C63" s="82"/>
      <c r="D63" s="1441" t="s">
        <v>32</v>
      </c>
      <c r="E63" s="1442"/>
      <c r="F63" s="1442"/>
      <c r="G63" s="1442"/>
      <c r="H63" s="1442"/>
      <c r="I63" s="1442"/>
      <c r="J63" s="1442"/>
      <c r="K63" s="1443"/>
    </row>
    <row r="64" spans="2:11" ht="14.1" customHeight="1" thickBot="1">
      <c r="B64" s="61"/>
      <c r="C64" s="86"/>
      <c r="D64" s="201"/>
      <c r="E64" s="103"/>
      <c r="F64" s="103"/>
      <c r="G64" s="103"/>
      <c r="H64" s="103"/>
      <c r="I64" s="103"/>
      <c r="J64" s="103"/>
      <c r="K64" s="32"/>
    </row>
    <row r="65" spans="2:11" ht="14.1" customHeight="1" thickBot="1">
      <c r="B65" s="61" t="s">
        <v>33</v>
      </c>
      <c r="C65" s="86"/>
      <c r="D65" s="1462" t="s">
        <v>34</v>
      </c>
      <c r="E65" s="1463"/>
      <c r="F65" s="1463"/>
      <c r="G65" s="1463"/>
      <c r="H65" s="1463"/>
      <c r="I65" s="1463"/>
      <c r="J65" s="1463"/>
      <c r="K65" s="1464"/>
    </row>
    <row r="66" spans="2:11" ht="39" customHeight="1" thickBot="1">
      <c r="B66" s="61" t="s">
        <v>35</v>
      </c>
      <c r="C66" s="86"/>
      <c r="D66" s="1462" t="s">
        <v>36</v>
      </c>
      <c r="E66" s="1463"/>
      <c r="F66" s="1463"/>
      <c r="G66" s="1463"/>
      <c r="H66" s="1463"/>
      <c r="I66" s="1463"/>
      <c r="J66" s="1463"/>
      <c r="K66" s="1464"/>
    </row>
    <row r="67" spans="2:11" ht="15" thickBot="1">
      <c r="B67" s="1"/>
      <c r="C67" s="64"/>
      <c r="D67" s="5"/>
      <c r="E67" s="5"/>
      <c r="F67" s="5"/>
      <c r="G67" s="5"/>
      <c r="H67" s="5"/>
      <c r="I67" s="5"/>
      <c r="J67" s="5"/>
      <c r="K67" s="5"/>
    </row>
    <row r="68" spans="2:11" ht="24" customHeight="1" thickBot="1">
      <c r="B68" s="1469" t="s">
        <v>37</v>
      </c>
      <c r="C68" s="1470"/>
      <c r="D68" s="1470"/>
      <c r="E68" s="1471"/>
      <c r="F68" s="5"/>
      <c r="G68" s="5"/>
      <c r="H68" s="5"/>
      <c r="I68" s="5"/>
      <c r="J68" s="5"/>
      <c r="K68" s="5"/>
    </row>
    <row r="69" spans="2:11" ht="15" thickBot="1">
      <c r="B69" s="1459">
        <v>1</v>
      </c>
      <c r="C69" s="73"/>
      <c r="D69" s="38" t="s">
        <v>38</v>
      </c>
      <c r="E69" s="133" t="s">
        <v>1814</v>
      </c>
      <c r="F69" s="5"/>
      <c r="G69" s="5"/>
      <c r="H69" s="5"/>
      <c r="I69" s="5"/>
      <c r="J69" s="5"/>
      <c r="K69" s="5"/>
    </row>
    <row r="70" spans="2:11" ht="24.6" thickBot="1">
      <c r="B70" s="1460"/>
      <c r="C70" s="73"/>
      <c r="D70" s="32" t="s">
        <v>39</v>
      </c>
      <c r="E70" s="282" t="s">
        <v>1975</v>
      </c>
      <c r="F70" s="5"/>
      <c r="G70" s="5"/>
      <c r="H70" s="5"/>
      <c r="I70" s="5"/>
      <c r="J70" s="5"/>
      <c r="K70" s="5"/>
    </row>
    <row r="71" spans="2:11" ht="15" thickBot="1">
      <c r="B71" s="1460"/>
      <c r="C71" s="73"/>
      <c r="D71" s="32" t="s">
        <v>40</v>
      </c>
      <c r="E71" s="133" t="s">
        <v>1815</v>
      </c>
      <c r="F71" s="5"/>
      <c r="G71" s="5"/>
      <c r="H71" s="5"/>
      <c r="I71" s="5"/>
      <c r="J71" s="5"/>
      <c r="K71" s="5"/>
    </row>
    <row r="72" spans="2:11" ht="29.25" customHeight="1" thickBot="1">
      <c r="B72" s="1460"/>
      <c r="C72" s="73"/>
      <c r="D72" s="32" t="s">
        <v>41</v>
      </c>
      <c r="E72" s="282" t="s">
        <v>1976</v>
      </c>
      <c r="F72" s="5"/>
      <c r="G72" s="5" t="s">
        <v>876</v>
      </c>
      <c r="H72" s="5"/>
      <c r="I72" s="5"/>
      <c r="J72" s="5"/>
      <c r="K72" s="5"/>
    </row>
    <row r="73" spans="2:11" ht="29.4" thickBot="1">
      <c r="B73" s="1460"/>
      <c r="C73" s="73"/>
      <c r="D73" s="32" t="s">
        <v>42</v>
      </c>
      <c r="E73" s="448" t="s">
        <v>1816</v>
      </c>
      <c r="F73" s="5"/>
      <c r="G73" s="5"/>
      <c r="H73" s="5"/>
      <c r="I73" s="5"/>
      <c r="J73" s="5"/>
      <c r="K73" s="5"/>
    </row>
    <row r="74" spans="2:11" ht="15" thickBot="1">
      <c r="B74" s="1460"/>
      <c r="C74" s="73"/>
      <c r="D74" s="32" t="s">
        <v>43</v>
      </c>
      <c r="E74" s="133">
        <v>3686626</v>
      </c>
      <c r="F74" s="5"/>
      <c r="G74" s="5"/>
      <c r="H74" s="5"/>
      <c r="I74" s="5"/>
      <c r="J74" s="5"/>
      <c r="K74" s="5"/>
    </row>
    <row r="75" spans="2:11" ht="15" thickBot="1">
      <c r="B75" s="1461"/>
      <c r="C75" s="2"/>
      <c r="D75" s="32" t="s">
        <v>44</v>
      </c>
      <c r="E75" s="282" t="s">
        <v>1817</v>
      </c>
      <c r="F75" s="5"/>
      <c r="G75" s="5"/>
      <c r="H75" s="5"/>
      <c r="I75" s="5"/>
      <c r="J75" s="5"/>
      <c r="K75" s="5"/>
    </row>
    <row r="76" spans="2:11" ht="15" thickBot="1">
      <c r="B76" s="1"/>
      <c r="C76" s="64"/>
      <c r="D76" s="5"/>
      <c r="E76" s="5"/>
      <c r="F76" s="5"/>
      <c r="G76" s="5"/>
      <c r="H76" s="5"/>
      <c r="I76" s="5"/>
      <c r="J76" s="5"/>
      <c r="K76" s="5"/>
    </row>
    <row r="77" spans="2:11" ht="15" customHeight="1" thickBot="1">
      <c r="B77" s="1469" t="s">
        <v>45</v>
      </c>
      <c r="C77" s="1470"/>
      <c r="D77" s="1470"/>
      <c r="E77" s="1471"/>
      <c r="F77" s="5"/>
      <c r="G77" s="5"/>
      <c r="H77" s="5"/>
      <c r="I77" s="5"/>
      <c r="J77" s="5"/>
      <c r="K77" s="5"/>
    </row>
    <row r="78" spans="2:11" ht="36.6" thickBot="1">
      <c r="B78" s="1459">
        <v>1</v>
      </c>
      <c r="C78" s="73"/>
      <c r="D78" s="38" t="s">
        <v>38</v>
      </c>
      <c r="E78" s="787" t="s">
        <v>46</v>
      </c>
      <c r="F78" s="5"/>
      <c r="G78" s="5"/>
      <c r="H78" s="5"/>
      <c r="I78" s="5"/>
      <c r="J78" s="5"/>
      <c r="K78" s="5"/>
    </row>
    <row r="79" spans="2:11" ht="48.6" thickBot="1">
      <c r="B79" s="1460"/>
      <c r="C79" s="73"/>
      <c r="D79" s="32" t="s">
        <v>39</v>
      </c>
      <c r="E79" s="787" t="s">
        <v>47</v>
      </c>
      <c r="F79" s="5"/>
      <c r="G79" s="5"/>
      <c r="H79" s="5"/>
      <c r="I79" s="5"/>
      <c r="J79" s="5"/>
      <c r="K79" s="5"/>
    </row>
    <row r="80" spans="2:11" ht="15" thickBot="1">
      <c r="B80" s="1460"/>
      <c r="C80" s="73"/>
      <c r="D80" s="32" t="s">
        <v>40</v>
      </c>
      <c r="E80" s="138"/>
      <c r="F80" s="5"/>
      <c r="G80" s="5"/>
      <c r="H80" s="5"/>
      <c r="I80" s="5"/>
      <c r="J80" s="5"/>
      <c r="K80" s="5"/>
    </row>
    <row r="81" spans="2:11" ht="15" thickBot="1">
      <c r="B81" s="1460"/>
      <c r="C81" s="73"/>
      <c r="D81" s="32" t="s">
        <v>41</v>
      </c>
      <c r="E81" s="138"/>
      <c r="F81" s="5"/>
      <c r="G81" s="5"/>
      <c r="H81" s="5"/>
      <c r="I81" s="5"/>
      <c r="J81" s="5"/>
      <c r="K81" s="5"/>
    </row>
    <row r="82" spans="2:11" ht="15" thickBot="1">
      <c r="B82" s="1460"/>
      <c r="C82" s="73"/>
      <c r="D82" s="32" t="s">
        <v>42</v>
      </c>
      <c r="E82" s="138"/>
      <c r="F82" s="5"/>
      <c r="G82" s="5"/>
      <c r="H82" s="5"/>
      <c r="I82" s="5"/>
      <c r="J82" s="5"/>
      <c r="K82" s="5"/>
    </row>
    <row r="83" spans="2:11" ht="15" thickBot="1">
      <c r="B83" s="1460"/>
      <c r="C83" s="73"/>
      <c r="D83" s="32" t="s">
        <v>43</v>
      </c>
      <c r="E83" s="138"/>
      <c r="F83" s="5"/>
      <c r="G83" s="5"/>
      <c r="H83" s="5"/>
      <c r="I83" s="5"/>
      <c r="J83" s="5"/>
      <c r="K83" s="5"/>
    </row>
    <row r="84" spans="2:11" ht="15" thickBot="1">
      <c r="B84" s="1461"/>
      <c r="C84" s="2"/>
      <c r="D84" s="32" t="s">
        <v>44</v>
      </c>
      <c r="E84" s="138"/>
      <c r="F84" s="5"/>
      <c r="G84" s="5"/>
      <c r="H84" s="5"/>
      <c r="I84" s="5"/>
      <c r="J84" s="5"/>
      <c r="K84" s="5"/>
    </row>
    <row r="85" spans="2:11" ht="15" thickBot="1">
      <c r="B85" s="1"/>
      <c r="C85" s="64"/>
      <c r="D85" s="5"/>
      <c r="E85" s="5"/>
      <c r="F85" s="5"/>
      <c r="G85" s="5"/>
      <c r="H85" s="5"/>
      <c r="I85" s="5"/>
      <c r="J85" s="5"/>
      <c r="K85" s="5"/>
    </row>
    <row r="86" spans="2:11" ht="15" customHeight="1" thickBot="1">
      <c r="B86" s="97" t="s">
        <v>48</v>
      </c>
      <c r="C86" s="98"/>
      <c r="D86" s="98"/>
      <c r="E86" s="218"/>
      <c r="G86" s="5"/>
      <c r="H86" s="5"/>
      <c r="I86" s="5"/>
      <c r="J86" s="5"/>
      <c r="K86" s="5"/>
    </row>
    <row r="87" spans="2:11" ht="24.6" thickBot="1">
      <c r="B87" s="37" t="s">
        <v>49</v>
      </c>
      <c r="C87" s="32" t="s">
        <v>50</v>
      </c>
      <c r="D87" s="103" t="s">
        <v>51</v>
      </c>
      <c r="E87" s="42" t="s">
        <v>52</v>
      </c>
      <c r="F87" s="5"/>
      <c r="G87" s="5"/>
      <c r="H87" s="5"/>
      <c r="I87" s="5"/>
      <c r="J87" s="5"/>
    </row>
    <row r="88" spans="2:11" ht="96.6" thickBot="1">
      <c r="B88" s="39">
        <v>42401</v>
      </c>
      <c r="C88" s="32">
        <v>1</v>
      </c>
      <c r="D88" s="58" t="s">
        <v>53</v>
      </c>
      <c r="E88" s="32"/>
      <c r="F88" s="5"/>
      <c r="G88" s="5"/>
      <c r="H88" s="5"/>
      <c r="I88" s="5"/>
      <c r="J88" s="5"/>
    </row>
    <row r="89" spans="2:11" ht="15" thickBot="1">
      <c r="B89" s="3"/>
      <c r="C89" s="74"/>
      <c r="D89" s="5"/>
      <c r="E89" s="5"/>
      <c r="F89" s="5"/>
      <c r="G89" s="5"/>
      <c r="H89" s="5"/>
      <c r="I89" s="5"/>
      <c r="J89" s="5"/>
      <c r="K89" s="5"/>
    </row>
    <row r="90" spans="2:11">
      <c r="B90" s="106" t="s">
        <v>54</v>
      </c>
      <c r="C90" s="75"/>
      <c r="D90" s="5"/>
      <c r="E90" s="5"/>
      <c r="F90" s="5"/>
      <c r="G90" s="5"/>
      <c r="H90" s="5"/>
      <c r="I90" s="5"/>
      <c r="J90" s="5"/>
      <c r="K90" s="5"/>
    </row>
    <row r="91" spans="2:11">
      <c r="B91" s="1475"/>
      <c r="C91" s="1475"/>
      <c r="D91" s="1475"/>
      <c r="E91" s="1475"/>
      <c r="F91" s="1475"/>
      <c r="G91" s="5"/>
      <c r="H91" s="5"/>
      <c r="I91" s="5"/>
      <c r="J91" s="5"/>
      <c r="K91" s="5"/>
    </row>
    <row r="92" spans="2:11" ht="44.1" customHeight="1">
      <c r="B92" s="1475"/>
      <c r="C92" s="1475"/>
      <c r="D92" s="1475"/>
      <c r="E92" s="1475"/>
      <c r="F92" s="1475"/>
      <c r="G92" s="5"/>
      <c r="H92" s="5"/>
      <c r="I92" s="5"/>
      <c r="J92" s="5"/>
      <c r="K92" s="5"/>
    </row>
    <row r="93" spans="2:11">
      <c r="B93" s="1"/>
      <c r="C93" s="64"/>
      <c r="D93" s="5"/>
      <c r="E93" s="5"/>
      <c r="F93" s="5"/>
      <c r="G93" s="5"/>
      <c r="H93" s="5"/>
      <c r="I93" s="5"/>
      <c r="J93" s="5"/>
      <c r="K93" s="5"/>
    </row>
    <row r="94" spans="2:11" ht="15" thickBot="1">
      <c r="B94" s="29"/>
      <c r="C94" s="67"/>
      <c r="D94" s="5"/>
      <c r="E94" s="5"/>
      <c r="F94" s="5"/>
      <c r="G94" s="5"/>
      <c r="H94" s="5"/>
      <c r="I94" s="5"/>
      <c r="J94" s="5"/>
      <c r="K94" s="5"/>
    </row>
    <row r="95" spans="2:11" ht="15" thickBot="1">
      <c r="B95" s="219" t="s">
        <v>55</v>
      </c>
      <c r="C95" s="76"/>
      <c r="D95" s="5"/>
      <c r="E95" s="5"/>
      <c r="F95" s="5"/>
      <c r="G95" s="5"/>
      <c r="H95" s="5"/>
      <c r="I95" s="5"/>
      <c r="J95" s="5"/>
      <c r="K95" s="5"/>
    </row>
    <row r="96" spans="2:11" ht="15" thickBot="1">
      <c r="B96" s="29"/>
      <c r="C96" s="67"/>
      <c r="D96" s="5"/>
      <c r="E96" s="5"/>
      <c r="F96" s="5"/>
      <c r="G96" s="5"/>
      <c r="H96" s="5"/>
      <c r="I96" s="5"/>
      <c r="J96" s="5"/>
      <c r="K96" s="5"/>
    </row>
    <row r="97" spans="2:11" ht="15" thickBot="1">
      <c r="B97" s="42" t="s">
        <v>56</v>
      </c>
      <c r="C97" s="188"/>
      <c r="D97" s="1462" t="s">
        <v>57</v>
      </c>
      <c r="E97" s="1463"/>
      <c r="F97" s="1464"/>
      <c r="G97" s="5"/>
      <c r="H97" s="5"/>
      <c r="I97" s="5"/>
      <c r="J97" s="5"/>
      <c r="K97" s="5"/>
    </row>
    <row r="98" spans="2:11">
      <c r="B98" s="1459" t="s">
        <v>58</v>
      </c>
      <c r="C98" s="68"/>
      <c r="D98" s="1447" t="s">
        <v>59</v>
      </c>
      <c r="E98" s="1448"/>
      <c r="F98" s="1449"/>
      <c r="G98" s="5"/>
      <c r="H98" s="5"/>
      <c r="I98" s="5"/>
      <c r="J98" s="5"/>
      <c r="K98" s="5"/>
    </row>
    <row r="99" spans="2:11">
      <c r="B99" s="1460"/>
      <c r="C99" s="71"/>
      <c r="D99" s="1441" t="s">
        <v>60</v>
      </c>
      <c r="E99" s="1442"/>
      <c r="F99" s="1443"/>
      <c r="G99" s="5"/>
      <c r="H99" s="5"/>
      <c r="I99" s="5"/>
      <c r="J99" s="5"/>
      <c r="K99" s="5"/>
    </row>
    <row r="100" spans="2:11">
      <c r="B100" s="1460"/>
      <c r="C100" s="71"/>
      <c r="D100" s="1441" t="s">
        <v>61</v>
      </c>
      <c r="E100" s="1442"/>
      <c r="F100" s="1443"/>
      <c r="G100" s="5"/>
      <c r="H100" s="5"/>
      <c r="I100" s="5"/>
      <c r="J100" s="5"/>
      <c r="K100" s="5"/>
    </row>
    <row r="101" spans="2:11">
      <c r="B101" s="1460"/>
      <c r="C101" s="71"/>
      <c r="D101" s="1453" t="s">
        <v>62</v>
      </c>
      <c r="E101" s="1454"/>
      <c r="F101" s="1455"/>
      <c r="G101" s="5"/>
      <c r="H101" s="5"/>
      <c r="I101" s="5"/>
      <c r="J101" s="5"/>
      <c r="K101" s="5"/>
    </row>
    <row r="102" spans="2:11">
      <c r="B102" s="1460"/>
      <c r="C102" s="71"/>
      <c r="D102" s="1441" t="s">
        <v>63</v>
      </c>
      <c r="E102" s="1442"/>
      <c r="F102" s="1443"/>
      <c r="G102" s="5"/>
      <c r="H102" s="5"/>
      <c r="I102" s="5"/>
      <c r="J102" s="5"/>
      <c r="K102" s="5"/>
    </row>
    <row r="103" spans="2:11">
      <c r="B103" s="1460"/>
      <c r="C103" s="71"/>
      <c r="D103" s="1441" t="s">
        <v>64</v>
      </c>
      <c r="E103" s="1442"/>
      <c r="F103" s="1443"/>
      <c r="G103" s="5"/>
      <c r="H103" s="5"/>
      <c r="I103" s="5"/>
      <c r="J103" s="5"/>
      <c r="K103" s="5"/>
    </row>
    <row r="104" spans="2:11">
      <c r="B104" s="1460"/>
      <c r="C104" s="71"/>
      <c r="D104" s="1441" t="s">
        <v>65</v>
      </c>
      <c r="E104" s="1442"/>
      <c r="F104" s="1443"/>
      <c r="G104" s="5"/>
      <c r="H104" s="5"/>
      <c r="I104" s="5"/>
      <c r="J104" s="5"/>
      <c r="K104" s="5"/>
    </row>
    <row r="105" spans="2:11">
      <c r="B105" s="1460"/>
      <c r="C105" s="71"/>
      <c r="D105" s="1441" t="s">
        <v>66</v>
      </c>
      <c r="E105" s="1442"/>
      <c r="F105" s="1443"/>
      <c r="G105" s="5"/>
      <c r="H105" s="5"/>
      <c r="I105" s="5"/>
      <c r="J105" s="5"/>
      <c r="K105" s="5"/>
    </row>
    <row r="106" spans="2:11">
      <c r="B106" s="1460"/>
      <c r="C106" s="71"/>
      <c r="D106" s="1453" t="s">
        <v>67</v>
      </c>
      <c r="E106" s="1454"/>
      <c r="F106" s="1455"/>
      <c r="G106" s="5"/>
      <c r="H106" s="5"/>
      <c r="I106" s="5"/>
      <c r="J106" s="5"/>
      <c r="K106" s="5"/>
    </row>
    <row r="107" spans="2:11">
      <c r="B107" s="1460"/>
      <c r="C107" s="71"/>
      <c r="D107" s="1441" t="s">
        <v>68</v>
      </c>
      <c r="E107" s="1442"/>
      <c r="F107" s="1443"/>
      <c r="G107" s="5"/>
      <c r="H107" s="5"/>
      <c r="I107" s="5"/>
      <c r="J107" s="5"/>
      <c r="K107" s="5"/>
    </row>
    <row r="108" spans="2:11">
      <c r="B108" s="1460"/>
      <c r="C108" s="71"/>
      <c r="D108" s="1441" t="s">
        <v>69</v>
      </c>
      <c r="E108" s="1442"/>
      <c r="F108" s="1443"/>
      <c r="G108" s="5"/>
      <c r="H108" s="5"/>
      <c r="I108" s="5"/>
      <c r="J108" s="5"/>
      <c r="K108" s="5"/>
    </row>
    <row r="109" spans="2:11" ht="15" thickBot="1">
      <c r="B109" s="1461"/>
      <c r="C109" s="72"/>
      <c r="D109" s="1472" t="s">
        <v>70</v>
      </c>
      <c r="E109" s="1473"/>
      <c r="F109" s="1474"/>
      <c r="G109" s="5"/>
      <c r="H109" s="5"/>
      <c r="I109" s="5"/>
      <c r="J109" s="5"/>
      <c r="K109" s="5"/>
    </row>
    <row r="110" spans="2:11" ht="24.6" thickBot="1">
      <c r="B110" s="37" t="s">
        <v>71</v>
      </c>
      <c r="C110" s="72"/>
      <c r="D110" s="1462"/>
      <c r="E110" s="1463"/>
      <c r="F110" s="1464"/>
      <c r="G110" s="5"/>
      <c r="H110" s="5"/>
      <c r="I110" s="5"/>
      <c r="J110" s="5"/>
      <c r="K110" s="5"/>
    </row>
    <row r="111" spans="2:11">
      <c r="B111" s="1459" t="s">
        <v>72</v>
      </c>
      <c r="C111" s="68"/>
      <c r="D111" s="1450" t="s">
        <v>73</v>
      </c>
      <c r="E111" s="1451"/>
      <c r="F111" s="1452"/>
      <c r="G111" s="5"/>
      <c r="H111" s="5"/>
      <c r="I111" s="5"/>
      <c r="J111" s="5"/>
      <c r="K111" s="5"/>
    </row>
    <row r="112" spans="2:11">
      <c r="B112" s="1460"/>
      <c r="C112" s="71"/>
      <c r="D112" s="1453" t="s">
        <v>74</v>
      </c>
      <c r="E112" s="1454"/>
      <c r="F112" s="1455"/>
      <c r="G112" s="5"/>
      <c r="H112" s="5"/>
      <c r="I112" s="5"/>
      <c r="J112" s="5"/>
      <c r="K112" s="5"/>
    </row>
    <row r="113" spans="2:11">
      <c r="B113" s="1460"/>
      <c r="C113" s="71"/>
      <c r="D113" s="1441" t="s">
        <v>75</v>
      </c>
      <c r="E113" s="1442"/>
      <c r="F113" s="1443"/>
      <c r="G113" s="5"/>
      <c r="H113" s="5"/>
      <c r="I113" s="5"/>
      <c r="J113" s="5"/>
      <c r="K113" s="5"/>
    </row>
    <row r="114" spans="2:11">
      <c r="B114" s="1460"/>
      <c r="C114" s="71"/>
      <c r="D114" s="1441" t="s">
        <v>76</v>
      </c>
      <c r="E114" s="1442"/>
      <c r="F114" s="1443"/>
      <c r="G114" s="5"/>
      <c r="H114" s="5"/>
      <c r="I114" s="5"/>
      <c r="J114" s="5"/>
      <c r="K114" s="5"/>
    </row>
    <row r="115" spans="2:11">
      <c r="B115" s="1460"/>
      <c r="C115" s="71"/>
      <c r="D115" s="1441" t="s">
        <v>77</v>
      </c>
      <c r="E115" s="1442"/>
      <c r="F115" s="1443"/>
      <c r="G115" s="5"/>
      <c r="H115" s="5"/>
      <c r="I115" s="5"/>
      <c r="J115" s="5"/>
      <c r="K115" s="5"/>
    </row>
    <row r="116" spans="2:11">
      <c r="B116" s="1460"/>
      <c r="C116" s="71"/>
      <c r="D116" s="1441" t="s">
        <v>78</v>
      </c>
      <c r="E116" s="1442"/>
      <c r="F116" s="1443"/>
      <c r="G116" s="5"/>
      <c r="H116" s="5"/>
      <c r="I116" s="5"/>
      <c r="J116" s="5"/>
      <c r="K116" s="5"/>
    </row>
    <row r="117" spans="2:11">
      <c r="B117" s="1460"/>
      <c r="C117" s="71"/>
      <c r="D117" s="1441" t="s">
        <v>79</v>
      </c>
      <c r="E117" s="1442"/>
      <c r="F117" s="1443"/>
      <c r="G117" s="5"/>
      <c r="H117" s="5"/>
      <c r="I117" s="5"/>
      <c r="J117" s="5"/>
      <c r="K117" s="5"/>
    </row>
    <row r="118" spans="2:11">
      <c r="B118" s="1460"/>
      <c r="C118" s="71"/>
      <c r="D118" s="1441" t="s">
        <v>80</v>
      </c>
      <c r="E118" s="1442"/>
      <c r="F118" s="1443"/>
      <c r="G118" s="5"/>
      <c r="H118" s="5"/>
      <c r="I118" s="5"/>
      <c r="J118" s="5"/>
      <c r="K118" s="5"/>
    </row>
    <row r="119" spans="2:11">
      <c r="B119" s="1460"/>
      <c r="C119" s="71"/>
      <c r="D119" s="1453" t="s">
        <v>81</v>
      </c>
      <c r="E119" s="1454"/>
      <c r="F119" s="1455"/>
      <c r="G119" s="5"/>
      <c r="H119" s="5"/>
      <c r="I119" s="5"/>
      <c r="J119" s="5"/>
      <c r="K119" s="5"/>
    </row>
    <row r="120" spans="2:11">
      <c r="B120" s="1460"/>
      <c r="C120" s="71"/>
      <c r="D120" s="1441" t="s">
        <v>82</v>
      </c>
      <c r="E120" s="1442"/>
      <c r="F120" s="1443"/>
      <c r="G120" s="5"/>
      <c r="H120" s="5"/>
      <c r="I120" s="5"/>
      <c r="J120" s="5"/>
      <c r="K120" s="5"/>
    </row>
    <row r="121" spans="2:11">
      <c r="B121" s="1460"/>
      <c r="C121" s="71"/>
      <c r="D121" s="1441" t="s">
        <v>83</v>
      </c>
      <c r="E121" s="1442"/>
      <c r="F121" s="1443"/>
      <c r="G121" s="5"/>
      <c r="H121" s="5"/>
      <c r="I121" s="5"/>
      <c r="J121" s="5"/>
      <c r="K121" s="5"/>
    </row>
    <row r="122" spans="2:11">
      <c r="B122" s="1460"/>
      <c r="C122" s="71"/>
      <c r="D122" s="1441" t="s">
        <v>84</v>
      </c>
      <c r="E122" s="1442"/>
      <c r="F122" s="1443"/>
      <c r="G122" s="5"/>
      <c r="H122" s="5"/>
      <c r="I122" s="5"/>
      <c r="J122" s="5"/>
      <c r="K122" s="5"/>
    </row>
    <row r="123" spans="2:11">
      <c r="B123" s="1460"/>
      <c r="C123" s="71"/>
      <c r="D123" s="1441" t="s">
        <v>85</v>
      </c>
      <c r="E123" s="1442"/>
      <c r="F123" s="1443"/>
      <c r="G123" s="5"/>
      <c r="H123" s="5"/>
      <c r="I123" s="5"/>
      <c r="J123" s="5"/>
      <c r="K123" s="5"/>
    </row>
    <row r="124" spans="2:11">
      <c r="B124" s="1460"/>
      <c r="C124" s="71"/>
      <c r="D124" s="1453" t="s">
        <v>86</v>
      </c>
      <c r="E124" s="1454"/>
      <c r="F124" s="1455"/>
      <c r="G124" s="5"/>
      <c r="H124" s="5"/>
      <c r="I124" s="5"/>
      <c r="J124" s="5"/>
      <c r="K124" s="5"/>
    </row>
    <row r="125" spans="2:11">
      <c r="B125" s="1460"/>
      <c r="C125" s="71"/>
      <c r="D125" s="1441" t="s">
        <v>87</v>
      </c>
      <c r="E125" s="1442"/>
      <c r="F125" s="1443"/>
      <c r="G125" s="5"/>
      <c r="H125" s="5"/>
      <c r="I125" s="5"/>
      <c r="J125" s="5"/>
      <c r="K125" s="5"/>
    </row>
    <row r="126" spans="2:11">
      <c r="B126" s="1460"/>
      <c r="C126" s="71"/>
      <c r="D126" s="1441" t="s">
        <v>83</v>
      </c>
      <c r="E126" s="1442"/>
      <c r="F126" s="1443"/>
      <c r="G126" s="5"/>
      <c r="H126" s="5"/>
      <c r="I126" s="5"/>
      <c r="J126" s="5"/>
      <c r="K126" s="5"/>
    </row>
    <row r="127" spans="2:11">
      <c r="B127" s="1460"/>
      <c r="C127" s="71"/>
      <c r="D127" s="1441" t="s">
        <v>84</v>
      </c>
      <c r="E127" s="1442"/>
      <c r="F127" s="1443"/>
      <c r="G127" s="5"/>
      <c r="H127" s="5"/>
      <c r="I127" s="5"/>
      <c r="J127" s="5"/>
      <c r="K127" s="5"/>
    </row>
    <row r="128" spans="2:11" ht="15" thickBot="1">
      <c r="B128" s="1461"/>
      <c r="C128" s="72"/>
      <c r="D128" s="1456" t="s">
        <v>88</v>
      </c>
      <c r="E128" s="1457"/>
      <c r="F128" s="1458"/>
      <c r="G128" s="5"/>
      <c r="H128" s="5"/>
      <c r="I128" s="5"/>
      <c r="J128" s="5"/>
      <c r="K128" s="5"/>
    </row>
    <row r="129" spans="2:11">
      <c r="B129" s="1459" t="s">
        <v>89</v>
      </c>
      <c r="C129" s="68"/>
      <c r="D129" s="1450"/>
      <c r="E129" s="1451"/>
      <c r="F129" s="1452"/>
      <c r="G129" s="5"/>
      <c r="H129" s="5"/>
      <c r="I129" s="5"/>
      <c r="J129" s="5"/>
      <c r="K129" s="5"/>
    </row>
    <row r="130" spans="2:11">
      <c r="B130" s="1460"/>
      <c r="C130" s="71"/>
      <c r="D130" s="1438"/>
      <c r="E130" s="1439"/>
      <c r="F130" s="1440"/>
      <c r="G130" s="5"/>
      <c r="H130" s="5"/>
      <c r="I130" s="5"/>
      <c r="J130" s="5"/>
      <c r="K130" s="5"/>
    </row>
    <row r="131" spans="2:11">
      <c r="B131" s="1460"/>
      <c r="C131" s="71"/>
      <c r="D131" s="1441" t="s">
        <v>90</v>
      </c>
      <c r="E131" s="1442"/>
      <c r="F131" s="1443"/>
      <c r="G131" s="5"/>
      <c r="H131" s="5"/>
      <c r="I131" s="5"/>
      <c r="J131" s="5"/>
      <c r="K131" s="5"/>
    </row>
    <row r="132" spans="2:11">
      <c r="B132" s="1460"/>
      <c r="C132" s="71"/>
      <c r="D132" s="1441" t="s">
        <v>91</v>
      </c>
      <c r="E132" s="1442"/>
      <c r="F132" s="1443"/>
      <c r="G132" s="5"/>
      <c r="H132" s="5"/>
      <c r="I132" s="5"/>
      <c r="J132" s="5"/>
      <c r="K132" s="5"/>
    </row>
    <row r="133" spans="2:11">
      <c r="B133" s="1460"/>
      <c r="C133" s="71"/>
      <c r="D133" s="1441" t="s">
        <v>92</v>
      </c>
      <c r="E133" s="1442"/>
      <c r="F133" s="1443"/>
      <c r="G133" s="5"/>
      <c r="H133" s="5"/>
      <c r="I133" s="5"/>
      <c r="J133" s="5"/>
      <c r="K133" s="5"/>
    </row>
    <row r="134" spans="2:11">
      <c r="B134" s="1460"/>
      <c r="C134" s="71"/>
      <c r="D134" s="1441" t="s">
        <v>93</v>
      </c>
      <c r="E134" s="1442"/>
      <c r="F134" s="1443"/>
      <c r="G134" s="5"/>
      <c r="H134" s="5"/>
      <c r="I134" s="5"/>
      <c r="J134" s="5"/>
      <c r="K134" s="5"/>
    </row>
    <row r="135" spans="2:11">
      <c r="B135" s="1460"/>
      <c r="C135" s="71"/>
      <c r="D135" s="1441" t="s">
        <v>94</v>
      </c>
      <c r="E135" s="1442"/>
      <c r="F135" s="1443"/>
      <c r="G135" s="5"/>
      <c r="H135" s="5"/>
      <c r="I135" s="5"/>
      <c r="J135" s="5"/>
      <c r="K135" s="5"/>
    </row>
    <row r="136" spans="2:11">
      <c r="B136" s="1460"/>
      <c r="C136" s="71"/>
      <c r="D136" s="1441" t="s">
        <v>95</v>
      </c>
      <c r="E136" s="1442"/>
      <c r="F136" s="1443"/>
      <c r="G136" s="5"/>
      <c r="H136" s="5"/>
      <c r="I136" s="5"/>
      <c r="J136" s="5"/>
      <c r="K136" s="5"/>
    </row>
    <row r="137" spans="2:11">
      <c r="B137" s="1460"/>
      <c r="C137" s="71"/>
      <c r="D137" s="1441" t="s">
        <v>96</v>
      </c>
      <c r="E137" s="1442"/>
      <c r="F137" s="1443"/>
      <c r="G137" s="5"/>
      <c r="H137" s="5"/>
      <c r="I137" s="5"/>
      <c r="J137" s="5"/>
      <c r="K137" s="5"/>
    </row>
    <row r="138" spans="2:11">
      <c r="B138" s="1460"/>
      <c r="C138" s="71"/>
      <c r="D138" s="1441" t="s">
        <v>97</v>
      </c>
      <c r="E138" s="1442"/>
      <c r="F138" s="1443"/>
      <c r="G138" s="5"/>
      <c r="H138" s="5"/>
      <c r="I138" s="5"/>
      <c r="J138" s="5"/>
      <c r="K138" s="5"/>
    </row>
    <row r="139" spans="2:11">
      <c r="B139" s="1460"/>
      <c r="C139" s="71"/>
      <c r="D139" s="1441" t="s">
        <v>98</v>
      </c>
      <c r="E139" s="1442"/>
      <c r="F139" s="1443"/>
      <c r="G139" s="5"/>
      <c r="H139" s="5"/>
      <c r="I139" s="5"/>
      <c r="J139" s="5"/>
      <c r="K139" s="5"/>
    </row>
    <row r="140" spans="2:11">
      <c r="B140" s="1460"/>
      <c r="C140" s="71"/>
      <c r="D140" s="1441" t="s">
        <v>99</v>
      </c>
      <c r="E140" s="1442"/>
      <c r="F140" s="1443"/>
      <c r="G140" s="5"/>
      <c r="H140" s="5"/>
      <c r="I140" s="5"/>
      <c r="J140" s="5"/>
      <c r="K140" s="5"/>
    </row>
    <row r="141" spans="2:11">
      <c r="B141" s="1460"/>
      <c r="C141" s="71"/>
      <c r="D141" s="1441" t="s">
        <v>100</v>
      </c>
      <c r="E141" s="1442"/>
      <c r="F141" s="1443"/>
      <c r="G141" s="5"/>
      <c r="H141" s="5"/>
      <c r="I141" s="5"/>
      <c r="J141" s="5"/>
      <c r="K141" s="5"/>
    </row>
    <row r="142" spans="2:11" ht="15" thickBot="1">
      <c r="B142" s="1460"/>
      <c r="C142" s="71"/>
      <c r="D142" s="1444" t="s">
        <v>101</v>
      </c>
      <c r="E142" s="1445"/>
      <c r="F142" s="1446"/>
      <c r="G142" s="5"/>
      <c r="H142" s="5"/>
      <c r="I142" s="5"/>
      <c r="J142" s="5"/>
      <c r="K142" s="5"/>
    </row>
    <row r="143" spans="2:11" ht="15" thickBot="1">
      <c r="B143" s="1460"/>
      <c r="C143" s="73"/>
      <c r="D143" s="34" t="s">
        <v>102</v>
      </c>
      <c r="E143" s="34" t="s">
        <v>103</v>
      </c>
      <c r="F143" s="34" t="s">
        <v>104</v>
      </c>
      <c r="G143" s="5"/>
      <c r="H143" s="5"/>
      <c r="I143" s="5"/>
      <c r="J143" s="5"/>
      <c r="K143" s="5"/>
    </row>
    <row r="144" spans="2:11" ht="15" thickBot="1">
      <c r="B144" s="1460"/>
      <c r="C144" s="73"/>
      <c r="D144" s="32" t="s">
        <v>105</v>
      </c>
      <c r="E144" s="220">
        <v>0.15</v>
      </c>
      <c r="F144" s="220">
        <v>0.15</v>
      </c>
      <c r="G144" s="5"/>
      <c r="H144" s="5"/>
      <c r="I144" s="5"/>
      <c r="J144" s="5"/>
      <c r="K144" s="5"/>
    </row>
    <row r="145" spans="2:11" ht="15" thickBot="1">
      <c r="B145" s="1460"/>
      <c r="C145" s="73"/>
      <c r="D145" s="32" t="s">
        <v>106</v>
      </c>
      <c r="E145" s="220">
        <v>0.18</v>
      </c>
      <c r="F145" s="220">
        <v>0.33</v>
      </c>
      <c r="G145" s="5"/>
      <c r="H145" s="221"/>
      <c r="I145" s="5"/>
      <c r="J145" s="5"/>
      <c r="K145" s="5"/>
    </row>
    <row r="146" spans="2:11" ht="15" thickBot="1">
      <c r="B146" s="1460"/>
      <c r="C146" s="73"/>
      <c r="D146" s="32" t="s">
        <v>107</v>
      </c>
      <c r="E146" s="220">
        <v>0.33</v>
      </c>
      <c r="F146" s="220">
        <v>0.66</v>
      </c>
      <c r="G146" s="5"/>
      <c r="H146" s="221"/>
      <c r="I146" s="5"/>
      <c r="J146" s="5"/>
      <c r="K146" s="5"/>
    </row>
    <row r="147" spans="2:11" ht="15" thickBot="1">
      <c r="B147" s="1460"/>
      <c r="C147" s="73"/>
      <c r="D147" s="32" t="s">
        <v>108</v>
      </c>
      <c r="E147" s="220">
        <v>0.16</v>
      </c>
      <c r="F147" s="220">
        <v>0.82</v>
      </c>
      <c r="G147" s="5"/>
      <c r="H147" s="221"/>
      <c r="I147" s="5"/>
      <c r="J147" s="5"/>
      <c r="K147" s="5"/>
    </row>
    <row r="148" spans="2:11" ht="15" thickBot="1">
      <c r="B148" s="1460"/>
      <c r="C148" s="73"/>
      <c r="D148" s="32" t="s">
        <v>109</v>
      </c>
      <c r="E148" s="220">
        <v>0.18</v>
      </c>
      <c r="F148" s="220">
        <v>1</v>
      </c>
      <c r="G148" s="5"/>
      <c r="H148" s="221"/>
      <c r="I148" s="5"/>
      <c r="J148" s="5"/>
      <c r="K148" s="5"/>
    </row>
    <row r="149" spans="2:11">
      <c r="B149" s="1460"/>
      <c r="C149" s="71"/>
      <c r="D149" s="1447"/>
      <c r="E149" s="1448"/>
      <c r="F149" s="1449"/>
      <c r="G149" s="5"/>
      <c r="H149" s="5"/>
      <c r="I149" s="5"/>
      <c r="J149" s="5"/>
      <c r="K149" s="5"/>
    </row>
    <row r="150" spans="2:11" ht="15" thickBot="1">
      <c r="B150" s="1460"/>
      <c r="C150" s="71"/>
      <c r="D150" s="1444" t="s">
        <v>81</v>
      </c>
      <c r="E150" s="1445"/>
      <c r="F150" s="1446"/>
      <c r="G150" s="5"/>
      <c r="H150" s="5"/>
      <c r="I150" s="5"/>
      <c r="J150" s="5"/>
      <c r="K150" s="5"/>
    </row>
    <row r="151" spans="2:11" ht="15" thickBot="1">
      <c r="B151" s="1460"/>
      <c r="C151" s="73"/>
      <c r="D151" s="34" t="s">
        <v>102</v>
      </c>
      <c r="E151" s="34" t="s">
        <v>103</v>
      </c>
      <c r="F151" s="34" t="s">
        <v>104</v>
      </c>
      <c r="G151" s="5"/>
      <c r="H151" s="5"/>
      <c r="I151" s="5"/>
      <c r="J151" s="5"/>
      <c r="K151" s="5"/>
    </row>
    <row r="152" spans="2:11" ht="15" thickBot="1">
      <c r="B152" s="1460"/>
      <c r="C152" s="73"/>
      <c r="D152" s="32" t="s">
        <v>110</v>
      </c>
      <c r="E152" s="220">
        <v>0.2</v>
      </c>
      <c r="F152" s="220">
        <v>0.2</v>
      </c>
      <c r="G152" s="5"/>
      <c r="H152" s="5"/>
      <c r="I152" s="5"/>
      <c r="J152" s="5"/>
      <c r="K152" s="5"/>
    </row>
    <row r="153" spans="2:11" ht="15" thickBot="1">
      <c r="B153" s="1460"/>
      <c r="C153" s="73"/>
      <c r="D153" s="32" t="s">
        <v>111</v>
      </c>
      <c r="E153" s="220">
        <v>0.5</v>
      </c>
      <c r="F153" s="220">
        <v>0.7</v>
      </c>
      <c r="G153" s="5"/>
      <c r="H153" s="221"/>
      <c r="I153" s="5"/>
      <c r="J153" s="5"/>
      <c r="K153" s="5"/>
    </row>
    <row r="154" spans="2:11" ht="15" thickBot="1">
      <c r="B154" s="1460"/>
      <c r="C154" s="73"/>
      <c r="D154" s="32" t="s">
        <v>112</v>
      </c>
      <c r="E154" s="220">
        <v>0.3</v>
      </c>
      <c r="F154" s="220">
        <v>1</v>
      </c>
      <c r="G154" s="5"/>
      <c r="H154" s="221"/>
      <c r="I154" s="5"/>
      <c r="J154" s="5"/>
      <c r="K154" s="5"/>
    </row>
    <row r="155" spans="2:11">
      <c r="B155" s="1460"/>
      <c r="C155" s="71"/>
      <c r="D155" s="1450"/>
      <c r="E155" s="1451"/>
      <c r="F155" s="1452"/>
      <c r="G155" s="5"/>
      <c r="H155" s="221"/>
      <c r="I155" s="5"/>
      <c r="J155" s="5"/>
      <c r="K155" s="5"/>
    </row>
    <row r="156" spans="2:11" ht="15" thickBot="1">
      <c r="B156" s="1460"/>
      <c r="C156" s="71"/>
      <c r="D156" s="1444" t="s">
        <v>113</v>
      </c>
      <c r="E156" s="1445"/>
      <c r="F156" s="1446"/>
      <c r="G156" s="5"/>
      <c r="H156" s="221"/>
      <c r="I156" s="5"/>
      <c r="J156" s="5"/>
      <c r="K156" s="5"/>
    </row>
    <row r="157" spans="2:11" ht="15" thickBot="1">
      <c r="B157" s="1460"/>
      <c r="C157" s="73"/>
      <c r="D157" s="34" t="s">
        <v>102</v>
      </c>
      <c r="E157" s="34" t="s">
        <v>103</v>
      </c>
      <c r="F157" s="34" t="s">
        <v>104</v>
      </c>
      <c r="G157" s="5"/>
      <c r="H157" s="5"/>
      <c r="I157" s="5"/>
      <c r="J157" s="5"/>
      <c r="K157" s="5"/>
    </row>
    <row r="158" spans="2:11" ht="15" thickBot="1">
      <c r="B158" s="1460"/>
      <c r="C158" s="73"/>
      <c r="D158" s="32" t="s">
        <v>114</v>
      </c>
      <c r="E158" s="220">
        <v>0.2</v>
      </c>
      <c r="F158" s="220">
        <v>0.2</v>
      </c>
      <c r="G158" s="5"/>
      <c r="H158" s="221"/>
      <c r="I158" s="5"/>
      <c r="J158" s="5"/>
      <c r="K158" s="5"/>
    </row>
    <row r="159" spans="2:11" ht="15" thickBot="1">
      <c r="B159" s="1460"/>
      <c r="C159" s="73"/>
      <c r="D159" s="32" t="s">
        <v>111</v>
      </c>
      <c r="E159" s="220">
        <v>0.5</v>
      </c>
      <c r="F159" s="220">
        <v>0.7</v>
      </c>
      <c r="G159" s="5"/>
      <c r="H159" s="221"/>
      <c r="I159" s="5"/>
      <c r="J159" s="5"/>
      <c r="K159" s="5"/>
    </row>
    <row r="160" spans="2:11" ht="15" thickBot="1">
      <c r="B160" s="1460"/>
      <c r="C160" s="73"/>
      <c r="D160" s="32" t="s">
        <v>112</v>
      </c>
      <c r="E160" s="220">
        <v>0.3</v>
      </c>
      <c r="F160" s="220">
        <v>1</v>
      </c>
      <c r="G160" s="5"/>
      <c r="H160" s="221"/>
      <c r="I160" s="5"/>
      <c r="J160" s="5"/>
      <c r="K160" s="5"/>
    </row>
    <row r="161" spans="2:11">
      <c r="B161" s="1460"/>
      <c r="C161" s="71"/>
      <c r="D161" s="1450"/>
      <c r="E161" s="1451"/>
      <c r="F161" s="1452"/>
      <c r="G161" s="5"/>
      <c r="H161" s="5"/>
      <c r="I161" s="5"/>
      <c r="J161" s="5"/>
      <c r="K161" s="5"/>
    </row>
    <row r="162" spans="2:11">
      <c r="B162" s="1460"/>
      <c r="C162" s="71"/>
      <c r="D162" s="1453" t="s">
        <v>115</v>
      </c>
      <c r="E162" s="1454"/>
      <c r="F162" s="1455"/>
      <c r="G162" s="5"/>
      <c r="H162" s="5"/>
      <c r="I162" s="5"/>
      <c r="J162" s="5"/>
      <c r="K162" s="5"/>
    </row>
    <row r="163" spans="2:11">
      <c r="B163" s="1460"/>
      <c r="C163" s="71"/>
      <c r="D163" s="1441" t="s">
        <v>116</v>
      </c>
      <c r="E163" s="1442"/>
      <c r="F163" s="1443"/>
      <c r="G163" s="5"/>
      <c r="H163" s="5"/>
      <c r="I163" s="5"/>
      <c r="J163" s="5"/>
      <c r="K163" s="5"/>
    </row>
    <row r="164" spans="2:11">
      <c r="B164" s="1460"/>
      <c r="C164" s="71"/>
      <c r="D164" s="189"/>
      <c r="E164" s="107"/>
      <c r="F164" s="36"/>
      <c r="G164" s="5"/>
      <c r="H164" s="5"/>
      <c r="I164" s="5"/>
      <c r="J164" s="5"/>
      <c r="K164" s="5"/>
    </row>
    <row r="165" spans="2:11">
      <c r="B165" s="1460"/>
      <c r="C165" s="71"/>
      <c r="D165" s="1441" t="s">
        <v>117</v>
      </c>
      <c r="E165" s="1442"/>
      <c r="F165" s="1443"/>
      <c r="G165" s="5"/>
      <c r="H165" s="5"/>
      <c r="I165" s="5"/>
      <c r="J165" s="5"/>
      <c r="K165" s="5"/>
    </row>
    <row r="166" spans="2:11">
      <c r="B166" s="1460"/>
      <c r="C166" s="71"/>
      <c r="D166" s="1441" t="s">
        <v>118</v>
      </c>
      <c r="E166" s="1442"/>
      <c r="F166" s="1443"/>
      <c r="G166" s="5"/>
      <c r="H166" s="5"/>
      <c r="I166" s="5"/>
      <c r="J166" s="5"/>
      <c r="K166" s="5"/>
    </row>
    <row r="167" spans="2:11">
      <c r="B167" s="1460"/>
      <c r="C167" s="71"/>
      <c r="D167" s="1441" t="s">
        <v>119</v>
      </c>
      <c r="E167" s="1442"/>
      <c r="F167" s="1443"/>
      <c r="G167" s="5"/>
      <c r="H167" s="5"/>
      <c r="I167" s="5"/>
      <c r="J167" s="5"/>
      <c r="K167" s="5"/>
    </row>
    <row r="168" spans="2:11">
      <c r="B168" s="1460"/>
      <c r="C168" s="71"/>
      <c r="D168" s="1441" t="s">
        <v>120</v>
      </c>
      <c r="E168" s="1442"/>
      <c r="F168" s="1443"/>
      <c r="G168" s="5"/>
      <c r="H168" s="5"/>
      <c r="I168" s="5"/>
      <c r="J168" s="5"/>
      <c r="K168" s="5"/>
    </row>
    <row r="169" spans="2:11">
      <c r="B169" s="1460"/>
      <c r="C169" s="71"/>
      <c r="D169" s="189"/>
      <c r="E169" s="107"/>
      <c r="F169" s="36"/>
      <c r="G169" s="5"/>
      <c r="H169" s="5"/>
      <c r="I169" s="5"/>
      <c r="J169" s="5"/>
      <c r="K169" s="5"/>
    </row>
    <row r="170" spans="2:11">
      <c r="B170" s="1460"/>
      <c r="C170" s="71"/>
      <c r="D170" s="1453" t="s">
        <v>121</v>
      </c>
      <c r="E170" s="1454"/>
      <c r="F170" s="1455"/>
      <c r="G170" s="5"/>
      <c r="H170" s="5"/>
      <c r="I170" s="5"/>
      <c r="J170" s="5"/>
      <c r="K170" s="5"/>
    </row>
    <row r="171" spans="2:11">
      <c r="B171" s="1460"/>
      <c r="C171" s="71"/>
      <c r="D171" s="1441" t="s">
        <v>122</v>
      </c>
      <c r="E171" s="1442"/>
      <c r="F171" s="1443"/>
      <c r="G171" s="5"/>
      <c r="H171" s="5"/>
      <c r="I171" s="5"/>
      <c r="J171" s="5"/>
      <c r="K171" s="5"/>
    </row>
    <row r="172" spans="2:11" ht="32.1" customHeight="1">
      <c r="B172" s="1460"/>
      <c r="C172" s="71"/>
      <c r="D172" s="1438"/>
      <c r="E172" s="1439"/>
      <c r="F172" s="1440"/>
      <c r="G172" s="5"/>
      <c r="H172" s="5"/>
      <c r="I172" s="5"/>
      <c r="J172" s="5"/>
      <c r="K172" s="5"/>
    </row>
    <row r="173" spans="2:11">
      <c r="B173" s="1460"/>
      <c r="C173" s="71"/>
      <c r="D173" s="1441" t="s">
        <v>123</v>
      </c>
      <c r="E173" s="1442"/>
      <c r="F173" s="1443"/>
      <c r="G173" s="5"/>
      <c r="H173" s="5"/>
      <c r="I173" s="5"/>
      <c r="J173" s="5"/>
      <c r="K173" s="5"/>
    </row>
    <row r="174" spans="2:11">
      <c r="B174" s="1460"/>
      <c r="C174" s="71"/>
      <c r="D174" s="1441" t="s">
        <v>124</v>
      </c>
      <c r="E174" s="1442"/>
      <c r="F174" s="1443"/>
      <c r="G174" s="5"/>
      <c r="H174" s="5"/>
      <c r="I174" s="5"/>
      <c r="J174" s="5"/>
      <c r="K174" s="5"/>
    </row>
    <row r="175" spans="2:11">
      <c r="B175" s="1460"/>
      <c r="C175" s="71"/>
      <c r="D175" s="1441" t="s">
        <v>125</v>
      </c>
      <c r="E175" s="1442"/>
      <c r="F175" s="1443"/>
      <c r="G175" s="5"/>
      <c r="H175" s="5"/>
      <c r="I175" s="5"/>
      <c r="J175" s="5"/>
      <c r="K175" s="5"/>
    </row>
    <row r="176" spans="2:11" ht="15" thickBot="1">
      <c r="B176" s="1461"/>
      <c r="C176" s="72"/>
      <c r="D176" s="1456" t="s">
        <v>126</v>
      </c>
      <c r="E176" s="1457"/>
      <c r="F176" s="1458"/>
      <c r="G176" s="5"/>
      <c r="H176" s="5"/>
      <c r="I176" s="5"/>
      <c r="J176" s="5"/>
      <c r="K176" s="5"/>
    </row>
  </sheetData>
  <sheetProtection insertRows="0"/>
  <mergeCells count="108">
    <mergeCell ref="J24:K24"/>
    <mergeCell ref="J28:K28"/>
    <mergeCell ref="D61:E61"/>
    <mergeCell ref="D62:K62"/>
    <mergeCell ref="D63:K63"/>
    <mergeCell ref="D65:K65"/>
    <mergeCell ref="D66:K66"/>
    <mergeCell ref="B15:B21"/>
    <mergeCell ref="D56:K56"/>
    <mergeCell ref="D15:K15"/>
    <mergeCell ref="D22:K22"/>
    <mergeCell ref="D23:K23"/>
    <mergeCell ref="D29:K29"/>
    <mergeCell ref="D30:K30"/>
    <mergeCell ref="D31:K31"/>
    <mergeCell ref="D32:K32"/>
    <mergeCell ref="D33:K33"/>
    <mergeCell ref="D40:K40"/>
    <mergeCell ref="D41:K41"/>
    <mergeCell ref="D47:K47"/>
    <mergeCell ref="D48:K48"/>
    <mergeCell ref="D49:K49"/>
    <mergeCell ref="D55:K55"/>
    <mergeCell ref="J25:K25"/>
    <mergeCell ref="J26:K26"/>
    <mergeCell ref="J27:K27"/>
    <mergeCell ref="D97:F97"/>
    <mergeCell ref="B68:E68"/>
    <mergeCell ref="B69:B75"/>
    <mergeCell ref="B98:B109"/>
    <mergeCell ref="D98:F98"/>
    <mergeCell ref="D99:F99"/>
    <mergeCell ref="D100:F100"/>
    <mergeCell ref="D101:F101"/>
    <mergeCell ref="D102:F102"/>
    <mergeCell ref="D103:F103"/>
    <mergeCell ref="D104:F104"/>
    <mergeCell ref="D105:F105"/>
    <mergeCell ref="D106:F106"/>
    <mergeCell ref="D107:F107"/>
    <mergeCell ref="D108:F108"/>
    <mergeCell ref="D109:F109"/>
    <mergeCell ref="B77:E77"/>
    <mergeCell ref="B78:B84"/>
    <mergeCell ref="B91:F92"/>
    <mergeCell ref="D110:F110"/>
    <mergeCell ref="D126:F126"/>
    <mergeCell ref="D115:F115"/>
    <mergeCell ref="D116:F116"/>
    <mergeCell ref="D117:F117"/>
    <mergeCell ref="D118:F118"/>
    <mergeCell ref="D119:F119"/>
    <mergeCell ref="D120:F120"/>
    <mergeCell ref="D121:F121"/>
    <mergeCell ref="D122:F122"/>
    <mergeCell ref="D123:F123"/>
    <mergeCell ref="D124:F124"/>
    <mergeCell ref="D125:F125"/>
    <mergeCell ref="D136:F136"/>
    <mergeCell ref="D137:F137"/>
    <mergeCell ref="D138:F138"/>
    <mergeCell ref="D139:F139"/>
    <mergeCell ref="D140:F140"/>
    <mergeCell ref="D141:F141"/>
    <mergeCell ref="D127:F127"/>
    <mergeCell ref="D128:F128"/>
    <mergeCell ref="B129:B176"/>
    <mergeCell ref="D129:F129"/>
    <mergeCell ref="D130:F130"/>
    <mergeCell ref="D131:F131"/>
    <mergeCell ref="D132:F132"/>
    <mergeCell ref="D133:F133"/>
    <mergeCell ref="D134:F134"/>
    <mergeCell ref="D135:F135"/>
    <mergeCell ref="B111:B128"/>
    <mergeCell ref="D111:F111"/>
    <mergeCell ref="D112:F112"/>
    <mergeCell ref="D113:F113"/>
    <mergeCell ref="D114:F114"/>
    <mergeCell ref="D176:F176"/>
    <mergeCell ref="D170:F170"/>
    <mergeCell ref="D171:F171"/>
    <mergeCell ref="D172:F172"/>
    <mergeCell ref="D173:F173"/>
    <mergeCell ref="D174:F174"/>
    <mergeCell ref="D175:F175"/>
    <mergeCell ref="D168:F168"/>
    <mergeCell ref="D142:F142"/>
    <mergeCell ref="D149:F149"/>
    <mergeCell ref="D150:F150"/>
    <mergeCell ref="D155:F155"/>
    <mergeCell ref="D156:F156"/>
    <mergeCell ref="D161:F161"/>
    <mergeCell ref="D162:F162"/>
    <mergeCell ref="D163:F163"/>
    <mergeCell ref="D165:F165"/>
    <mergeCell ref="D166:F166"/>
    <mergeCell ref="D167:F167"/>
    <mergeCell ref="A5:P5"/>
    <mergeCell ref="A1:P1"/>
    <mergeCell ref="A2:P2"/>
    <mergeCell ref="A3:P3"/>
    <mergeCell ref="A4:D4"/>
    <mergeCell ref="B10:D10"/>
    <mergeCell ref="F11:S11"/>
    <mergeCell ref="E12:R12"/>
    <mergeCell ref="E13:R13"/>
    <mergeCell ref="F10:S10"/>
  </mergeCells>
  <conditionalFormatting sqref="D61">
    <cfRule type="containsText" dxfId="124" priority="9" operator="containsText" text="ERROR">
      <formula>NOT(ISERROR(SEARCH("ERROR",D61)))</formula>
    </cfRule>
  </conditionalFormatting>
  <conditionalFormatting sqref="E12:R12">
    <cfRule type="expression" dxfId="123" priority="2">
      <formula>E11="SI SE REPORTA"</formula>
    </cfRule>
  </conditionalFormatting>
  <conditionalFormatting sqref="F10">
    <cfRule type="notContainsBlanks" dxfId="122" priority="8">
      <formula>LEN(TRIM(F10))&gt;0</formula>
    </cfRule>
  </conditionalFormatting>
  <conditionalFormatting sqref="F11:S11">
    <cfRule type="expression" dxfId="121" priority="5">
      <formula>E11="NO SE REPORTA"</formula>
    </cfRule>
    <cfRule type="expression" dxfId="120" priority="6">
      <formula>E10="NO APLICA"</formula>
    </cfRule>
  </conditionalFormatting>
  <dataValidations count="7">
    <dataValidation type="decimal" allowBlank="1" showInputMessage="1" showErrorMessage="1" errorTitle="ERROR" error="Escriba un valor entre 0% y 100%" sqref="E58:F60 G35:J39 H43:J44 H46:J46 G43:G46" xr:uid="{00000000-0002-0000-0500-000000000000}">
      <formula1>0</formula1>
      <formula2>1</formula2>
    </dataValidation>
    <dataValidation type="whole" operator="greaterThanOrEqual" allowBlank="1" showErrorMessage="1" errorTitle="ERROR" error="Escriba un número igual o mayor que 0" promptTitle="ERROR" prompt="Escriba un número igual o mayor que 0" sqref="E16:E21" xr:uid="{00000000-0002-0000-0500-000001000000}">
      <formula1>0</formula1>
    </dataValidation>
    <dataValidation type="textLength" allowBlank="1" showInputMessage="1" showErrorMessage="1" errorTitle="ERROR" error="Escriba POMCA, PMM o PMA" promptTitle="ESCRIBA" prompt="POMCA, PMA o PMM" sqref="D25:D28 D35:D39" xr:uid="{00000000-0002-0000-0500-000002000000}">
      <formula1>1</formula1>
      <formula2>5</formula2>
    </dataValidation>
    <dataValidation type="list" allowBlank="1" showInputMessage="1" showErrorMessage="1" sqref="E10" xr:uid="{00000000-0002-0000-0500-000003000000}">
      <formula1>SI</formula1>
    </dataValidation>
    <dataValidation type="list" allowBlank="1" showInputMessage="1" showErrorMessage="1" sqref="E11" xr:uid="{00000000-0002-0000-0500-000004000000}">
      <formula1>REPORTE</formula1>
    </dataValidation>
    <dataValidation type="whole" operator="greaterThanOrEqual" allowBlank="1" showInputMessage="1" showErrorMessage="1" errorTitle="ERROR" error="Valor en HECTAREAS (sin decimales)_x000a_" sqref="G25:G28" xr:uid="{00000000-0002-0000-0500-000005000000}">
      <formula1>0</formula1>
    </dataValidation>
    <dataValidation allowBlank="1" showInputMessage="1" showErrorMessage="1" promptTitle="ESTADO" prompt="Procesos formales previos_x000a_Aprestamiento_x000a_Diagnóstico_x000a_Prospectiva y Zonificación Ambiental_x000a_Formulación_x000a_Aprobado" sqref="H25:H28" xr:uid="{00000000-0002-0000-0500-000006000000}"/>
  </dataValidations>
  <hyperlinks>
    <hyperlink ref="B9" location="'ANEXO 3'!A1" display="VOLVER AL INDICE" xr:uid="{00000000-0004-0000-0500-000000000000}"/>
    <hyperlink ref="E73" r:id="rId1" xr:uid="{00000000-0004-0000-0500-000001000000}"/>
  </hyperlinks>
  <pageMargins left="0.25" right="0.25" top="0.75" bottom="0.75" header="0.3" footer="0.3"/>
  <pageSetup paperSize="178" orientation="landscape" horizontalDpi="1200" verticalDpi="1200" r:id="rId2"/>
  <drawing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2">
    <tabColor theme="0"/>
  </sheetPr>
  <dimension ref="A1:S74"/>
  <sheetViews>
    <sheetView showGridLines="0" zoomScale="98" zoomScaleNormal="98" workbookViewId="0">
      <selection activeCell="P20" sqref="P20"/>
    </sheetView>
  </sheetViews>
  <sheetFormatPr baseColWidth="10" defaultColWidth="11.44140625" defaultRowHeight="14.4"/>
  <cols>
    <col min="1" max="1" width="1.88671875" style="316" customWidth="1"/>
    <col min="2" max="2" width="12.88671875" style="316" customWidth="1"/>
    <col min="3" max="3" width="6.109375" style="476" bestFit="1" customWidth="1"/>
    <col min="4" max="4" width="34.88671875" style="316" customWidth="1"/>
    <col min="5" max="5" width="15.6640625" style="316" customWidth="1"/>
    <col min="6" max="8" width="11.44140625" style="316"/>
    <col min="9" max="9" width="11.44140625" style="476"/>
    <col min="10" max="16384" width="11.44140625" style="316"/>
  </cols>
  <sheetData>
    <row r="1" spans="1:19" s="314" customFormat="1" ht="100.5" customHeight="1" thickBot="1">
      <c r="A1" s="1421"/>
      <c r="B1" s="1422"/>
      <c r="C1" s="1422"/>
      <c r="D1" s="1422"/>
      <c r="E1" s="1422"/>
      <c r="F1" s="1422"/>
      <c r="G1" s="1422"/>
      <c r="H1" s="1422"/>
      <c r="I1" s="1422"/>
      <c r="J1" s="1422"/>
      <c r="K1" s="1422"/>
      <c r="L1" s="1422"/>
      <c r="M1" s="1422"/>
      <c r="N1" s="1422"/>
      <c r="O1" s="1422"/>
      <c r="P1" s="1423"/>
      <c r="Q1" s="316"/>
      <c r="R1" s="316"/>
    </row>
    <row r="2" spans="1:19" s="315" customFormat="1" ht="16.2" thickBot="1">
      <c r="A2" s="1418" t="str">
        <f>+'Datos Generales'!C5</f>
        <v>Corporación Autónoma Regional del Atlántico – CRA</v>
      </c>
      <c r="B2" s="1419"/>
      <c r="C2" s="1419"/>
      <c r="D2" s="1419"/>
      <c r="E2" s="1419"/>
      <c r="F2" s="1419"/>
      <c r="G2" s="1419"/>
      <c r="H2" s="1419"/>
      <c r="I2" s="1419"/>
      <c r="J2" s="1419"/>
      <c r="K2" s="1419"/>
      <c r="L2" s="1419"/>
      <c r="M2" s="1419"/>
      <c r="N2" s="1419"/>
      <c r="O2" s="1419"/>
      <c r="P2" s="1420"/>
      <c r="Q2" s="316"/>
      <c r="R2" s="316"/>
    </row>
    <row r="3" spans="1:19" s="315" customFormat="1" ht="16.2" thickBot="1">
      <c r="A3" s="1426" t="s">
        <v>1295</v>
      </c>
      <c r="B3" s="1427"/>
      <c r="C3" s="1427"/>
      <c r="D3" s="1427"/>
      <c r="E3" s="1427"/>
      <c r="F3" s="1427"/>
      <c r="G3" s="1427"/>
      <c r="H3" s="1427"/>
      <c r="I3" s="1427"/>
      <c r="J3" s="1427"/>
      <c r="K3" s="1427"/>
      <c r="L3" s="1427"/>
      <c r="M3" s="1427"/>
      <c r="N3" s="1427"/>
      <c r="O3" s="1427"/>
      <c r="P3" s="1428"/>
      <c r="Q3" s="316"/>
      <c r="R3" s="316"/>
    </row>
    <row r="4" spans="1:19" s="315" customFormat="1" ht="16.2" thickBot="1">
      <c r="A4" s="1424" t="s">
        <v>1294</v>
      </c>
      <c r="B4" s="1425"/>
      <c r="C4" s="1425"/>
      <c r="D4" s="1425"/>
      <c r="E4" s="322" t="str">
        <f>+'Datos Generales'!C6</f>
        <v>2023-II</v>
      </c>
      <c r="F4" s="322"/>
      <c r="G4" s="322"/>
      <c r="H4" s="322"/>
      <c r="I4" s="560"/>
      <c r="J4" s="322"/>
      <c r="K4" s="322"/>
      <c r="L4" s="323"/>
      <c r="M4" s="323"/>
      <c r="N4" s="323"/>
      <c r="O4" s="323"/>
      <c r="P4" s="324"/>
      <c r="Q4" s="316"/>
      <c r="R4" s="316"/>
    </row>
    <row r="5" spans="1:19" ht="16.5" customHeight="1" thickBot="1">
      <c r="A5" s="1426" t="s">
        <v>130</v>
      </c>
      <c r="B5" s="1427"/>
      <c r="C5" s="1427"/>
      <c r="D5" s="1427"/>
      <c r="E5" s="1427"/>
      <c r="F5" s="1427"/>
      <c r="G5" s="1427"/>
      <c r="H5" s="1427"/>
      <c r="I5" s="1427"/>
      <c r="J5" s="1427"/>
      <c r="K5" s="1427"/>
      <c r="L5" s="1427"/>
      <c r="M5" s="1427"/>
      <c r="N5" s="1427"/>
      <c r="O5" s="1427"/>
      <c r="P5" s="1428"/>
    </row>
    <row r="6" spans="1:19">
      <c r="B6" s="467" t="s">
        <v>1</v>
      </c>
      <c r="C6" s="468"/>
      <c r="E6" s="469"/>
      <c r="F6" s="316" t="s">
        <v>127</v>
      </c>
    </row>
    <row r="7" spans="1:19" ht="15" thickBot="1">
      <c r="B7" s="470"/>
      <c r="C7" s="468"/>
      <c r="E7" s="471"/>
      <c r="F7" s="316" t="s">
        <v>128</v>
      </c>
    </row>
    <row r="8" spans="1:19" ht="15" thickBot="1">
      <c r="B8" s="472" t="s">
        <v>1180</v>
      </c>
      <c r="C8" s="647">
        <v>2023</v>
      </c>
      <c r="D8" s="473">
        <f>IF(E10="NO APLICA","NO APLICA",IF(E11="NO SE REPORTA","SIN INFORMACION",+H23))</f>
        <v>1</v>
      </c>
      <c r="E8" s="474"/>
      <c r="F8" s="316" t="s">
        <v>129</v>
      </c>
    </row>
    <row r="9" spans="1:19" ht="15" thickBot="1">
      <c r="B9" s="475" t="s">
        <v>1181</v>
      </c>
      <c r="D9" s="477"/>
    </row>
    <row r="10" spans="1:19">
      <c r="B10" s="1516" t="s">
        <v>1236</v>
      </c>
      <c r="C10" s="1516"/>
      <c r="D10" s="1516"/>
      <c r="E10" s="703" t="s">
        <v>1233</v>
      </c>
      <c r="F10" s="151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1518"/>
      <c r="H10" s="1518"/>
      <c r="I10" s="1518"/>
      <c r="J10" s="1518"/>
      <c r="K10" s="1518"/>
      <c r="L10" s="1518"/>
      <c r="M10" s="1518"/>
      <c r="N10" s="1518"/>
      <c r="O10" s="1518"/>
      <c r="P10" s="1518"/>
      <c r="Q10" s="1518"/>
      <c r="R10" s="1518"/>
      <c r="S10" s="1519"/>
    </row>
    <row r="11" spans="1:19" ht="14.4" customHeight="1" thickBot="1">
      <c r="B11" s="479"/>
      <c r="C11" s="480"/>
      <c r="D11" s="472" t="str">
        <f>IF(E10="SI APLICA","¿El indicador no se reporta por limitaciones de información disponible? ","")</f>
        <v xml:space="preserve">¿El indicador no se reporta por limitaciones de información disponible? </v>
      </c>
      <c r="E11" s="704" t="s">
        <v>1235</v>
      </c>
      <c r="F11" s="1520"/>
      <c r="G11" s="1521"/>
      <c r="H11" s="1521"/>
      <c r="I11" s="1521"/>
      <c r="J11" s="1521"/>
      <c r="K11" s="1521"/>
      <c r="L11" s="1521"/>
      <c r="M11" s="1521"/>
      <c r="N11" s="1521"/>
      <c r="O11" s="1521"/>
      <c r="P11" s="1521"/>
      <c r="Q11" s="1521"/>
      <c r="R11" s="1521"/>
      <c r="S11" s="1522"/>
    </row>
    <row r="12" spans="1:19" ht="31.5" customHeight="1" thickBot="1">
      <c r="B12" s="475"/>
      <c r="C12" s="480"/>
      <c r="D12" s="472" t="str">
        <f>IF(E11="SI SE REPORTA","¿Qué programas o proyectos del Plan de Acción están asociados al indicador? ","")</f>
        <v xml:space="preserve">¿Qué programas o proyectos del Plan de Acción están asociados al indicador? </v>
      </c>
      <c r="E12" s="1523" t="s">
        <v>1819</v>
      </c>
      <c r="F12" s="1524"/>
      <c r="G12" s="1524"/>
      <c r="H12" s="1524"/>
      <c r="I12" s="1524"/>
      <c r="J12" s="1524"/>
      <c r="K12" s="1524"/>
      <c r="L12" s="1524"/>
      <c r="M12" s="1524"/>
      <c r="N12" s="1524"/>
      <c r="O12" s="1524"/>
      <c r="P12" s="1524"/>
      <c r="Q12" s="1524"/>
      <c r="R12" s="1525"/>
      <c r="S12" s="485"/>
    </row>
    <row r="13" spans="1:19" ht="51.75" customHeight="1" thickBot="1">
      <c r="B13" s="475"/>
      <c r="C13" s="480"/>
      <c r="D13" s="472" t="s">
        <v>1238</v>
      </c>
      <c r="E13" s="1526" t="s">
        <v>1978</v>
      </c>
      <c r="F13" s="1527"/>
      <c r="G13" s="1527"/>
      <c r="H13" s="1527"/>
      <c r="I13" s="1527"/>
      <c r="J13" s="1527"/>
      <c r="K13" s="1527"/>
      <c r="L13" s="1527"/>
      <c r="M13" s="1527"/>
      <c r="N13" s="1527"/>
      <c r="O13" s="1527"/>
      <c r="P13" s="1527"/>
      <c r="Q13" s="1527"/>
      <c r="R13" s="1528"/>
      <c r="S13" s="705"/>
    </row>
    <row r="14" spans="1:19" ht="18" customHeight="1" thickBot="1">
      <c r="B14" s="475"/>
      <c r="D14" s="477"/>
    </row>
    <row r="15" spans="1:19" ht="15" thickBot="1">
      <c r="B15" s="1489" t="s">
        <v>2</v>
      </c>
      <c r="C15" s="482"/>
      <c r="D15" s="1495" t="s">
        <v>3</v>
      </c>
      <c r="E15" s="1496"/>
      <c r="F15" s="1496"/>
      <c r="G15" s="1496"/>
      <c r="H15" s="1496"/>
      <c r="I15" s="1496"/>
      <c r="J15" s="1497"/>
    </row>
    <row r="16" spans="1:19" ht="36.6" thickBot="1">
      <c r="B16" s="1490"/>
      <c r="C16" s="483"/>
      <c r="D16" s="484" t="s">
        <v>147</v>
      </c>
      <c r="E16" s="441">
        <v>17</v>
      </c>
      <c r="J16" s="485"/>
    </row>
    <row r="17" spans="2:10" ht="36.6" thickBot="1">
      <c r="B17" s="1490"/>
      <c r="C17" s="483"/>
      <c r="D17" s="486" t="s">
        <v>1820</v>
      </c>
      <c r="E17" s="441">
        <v>3</v>
      </c>
      <c r="J17" s="485"/>
    </row>
    <row r="18" spans="2:10" ht="48.6" thickBot="1">
      <c r="B18" s="1490"/>
      <c r="C18" s="483"/>
      <c r="D18" s="486" t="s">
        <v>148</v>
      </c>
      <c r="E18" s="441">
        <v>5</v>
      </c>
      <c r="J18" s="485"/>
    </row>
    <row r="19" spans="2:10" ht="15" thickBot="1">
      <c r="B19" s="1490"/>
      <c r="C19" s="487"/>
      <c r="D19" s="1498"/>
      <c r="E19" s="1499"/>
      <c r="F19" s="1499"/>
      <c r="G19" s="1499"/>
      <c r="H19" s="1499"/>
      <c r="I19" s="1499"/>
      <c r="J19" s="1500"/>
    </row>
    <row r="20" spans="2:10" ht="15" thickBot="1">
      <c r="B20" s="1490"/>
      <c r="C20" s="442" t="s">
        <v>18</v>
      </c>
      <c r="D20" s="484" t="s">
        <v>149</v>
      </c>
      <c r="E20" s="537" t="s">
        <v>19</v>
      </c>
      <c r="F20" s="488" t="s">
        <v>20</v>
      </c>
      <c r="G20" s="488" t="s">
        <v>21</v>
      </c>
      <c r="H20" s="488" t="s">
        <v>22</v>
      </c>
      <c r="I20" s="537" t="s">
        <v>150</v>
      </c>
      <c r="J20" s="489"/>
    </row>
    <row r="21" spans="2:10" ht="36.6" thickBot="1">
      <c r="B21" s="1490"/>
      <c r="C21" s="157" t="s">
        <v>151</v>
      </c>
      <c r="D21" s="486" t="s">
        <v>152</v>
      </c>
      <c r="E21" s="441">
        <v>3</v>
      </c>
      <c r="F21" s="441">
        <v>1</v>
      </c>
      <c r="G21" s="441">
        <v>0</v>
      </c>
      <c r="H21" s="441">
        <v>1</v>
      </c>
      <c r="I21" s="523">
        <f>SUM(E21:H21)</f>
        <v>5</v>
      </c>
      <c r="J21" s="447"/>
    </row>
    <row r="22" spans="2:10" ht="36.6" thickBot="1">
      <c r="B22" s="1490"/>
      <c r="C22" s="157" t="s">
        <v>153</v>
      </c>
      <c r="D22" s="486" t="s">
        <v>154</v>
      </c>
      <c r="E22" s="441">
        <v>3</v>
      </c>
      <c r="F22" s="441">
        <v>1</v>
      </c>
      <c r="G22" s="441"/>
      <c r="H22" s="441">
        <v>1</v>
      </c>
      <c r="I22" s="523">
        <f>SUM(E22:H22)</f>
        <v>5</v>
      </c>
      <c r="J22" s="447"/>
    </row>
    <row r="23" spans="2:10" ht="36.6" thickBot="1">
      <c r="B23" s="1491"/>
      <c r="C23" s="157" t="s">
        <v>155</v>
      </c>
      <c r="D23" s="486" t="s">
        <v>156</v>
      </c>
      <c r="E23" s="490">
        <f>IFERROR(E22/E21,"N.A.")</f>
        <v>1</v>
      </c>
      <c r="F23" s="490">
        <f>IFERROR(F22/F21,"N.A.")</f>
        <v>1</v>
      </c>
      <c r="G23" s="490" t="str">
        <f>IFERROR(G22/G21,"N.A.")</f>
        <v>N.A.</v>
      </c>
      <c r="H23" s="490">
        <f>IFERROR(H22/H21,"N.A.")</f>
        <v>1</v>
      </c>
      <c r="I23" s="490">
        <f>IFERROR(I22/I21,"N.A.")</f>
        <v>1</v>
      </c>
      <c r="J23" s="459"/>
    </row>
    <row r="24" spans="2:10" ht="45" customHeight="1" thickBot="1">
      <c r="B24" s="491" t="s">
        <v>33</v>
      </c>
      <c r="C24" s="492"/>
      <c r="D24" s="1501" t="s">
        <v>157</v>
      </c>
      <c r="E24" s="1502"/>
      <c r="F24" s="1502"/>
      <c r="G24" s="1502"/>
      <c r="H24" s="1502"/>
      <c r="I24" s="1502"/>
      <c r="J24" s="1503"/>
    </row>
    <row r="25" spans="2:10" ht="47.25" customHeight="1" thickBot="1">
      <c r="B25" s="491" t="s">
        <v>35</v>
      </c>
      <c r="C25" s="492"/>
      <c r="D25" s="1501" t="s">
        <v>158</v>
      </c>
      <c r="E25" s="1502"/>
      <c r="F25" s="1502"/>
      <c r="G25" s="1502"/>
      <c r="H25" s="1502"/>
      <c r="I25" s="1502"/>
      <c r="J25" s="1503"/>
    </row>
    <row r="26" spans="2:10" ht="15" thickBot="1">
      <c r="B26" s="467"/>
      <c r="C26" s="468"/>
    </row>
    <row r="27" spans="2:10" ht="24" customHeight="1" thickBot="1">
      <c r="B27" s="1492" t="s">
        <v>37</v>
      </c>
      <c r="C27" s="1493"/>
      <c r="D27" s="1493"/>
      <c r="E27" s="1494"/>
    </row>
    <row r="28" spans="2:10" ht="15" thickBot="1">
      <c r="B28" s="1489">
        <v>1</v>
      </c>
      <c r="C28" s="483"/>
      <c r="D28" s="493" t="s">
        <v>38</v>
      </c>
      <c r="E28" s="25" t="s">
        <v>1814</v>
      </c>
    </row>
    <row r="29" spans="2:10" ht="24.6" thickBot="1">
      <c r="B29" s="1490"/>
      <c r="C29" s="483"/>
      <c r="D29" s="486" t="s">
        <v>39</v>
      </c>
      <c r="E29" s="24" t="s">
        <v>1977</v>
      </c>
    </row>
    <row r="30" spans="2:10" ht="15" thickBot="1">
      <c r="B30" s="1490"/>
      <c r="C30" s="483"/>
      <c r="D30" s="486" t="s">
        <v>40</v>
      </c>
      <c r="E30" s="24" t="s">
        <v>1821</v>
      </c>
    </row>
    <row r="31" spans="2:10" ht="24.6" thickBot="1">
      <c r="B31" s="1490"/>
      <c r="C31" s="483"/>
      <c r="D31" s="486" t="s">
        <v>41</v>
      </c>
      <c r="E31" s="24" t="s">
        <v>1976</v>
      </c>
    </row>
    <row r="32" spans="2:10" ht="29.4" thickBot="1">
      <c r="B32" s="1490"/>
      <c r="C32" s="483"/>
      <c r="D32" s="486" t="s">
        <v>42</v>
      </c>
      <c r="E32" s="507" t="s">
        <v>1816</v>
      </c>
    </row>
    <row r="33" spans="2:6" ht="15" thickBot="1">
      <c r="B33" s="1490"/>
      <c r="C33" s="483"/>
      <c r="D33" s="486" t="s">
        <v>43</v>
      </c>
      <c r="E33" s="282">
        <v>3686626</v>
      </c>
    </row>
    <row r="34" spans="2:6" ht="24.6" thickBot="1">
      <c r="B34" s="1491"/>
      <c r="C34" s="157"/>
      <c r="D34" s="486" t="s">
        <v>44</v>
      </c>
      <c r="E34" s="24" t="s">
        <v>1817</v>
      </c>
    </row>
    <row r="35" spans="2:6" ht="15" thickBot="1">
      <c r="B35" s="467"/>
      <c r="C35" s="468"/>
    </row>
    <row r="36" spans="2:6" ht="15" thickBot="1">
      <c r="B36" s="1492" t="s">
        <v>45</v>
      </c>
      <c r="C36" s="1493"/>
      <c r="D36" s="1493"/>
      <c r="E36" s="1494"/>
    </row>
    <row r="37" spans="2:6" ht="15" thickBot="1">
      <c r="B37" s="1489">
        <v>1</v>
      </c>
      <c r="C37" s="483"/>
      <c r="D37" s="493" t="s">
        <v>38</v>
      </c>
      <c r="E37" s="495" t="s">
        <v>46</v>
      </c>
    </row>
    <row r="38" spans="2:6" ht="15" thickBot="1">
      <c r="B38" s="1490"/>
      <c r="C38" s="483"/>
      <c r="D38" s="486" t="s">
        <v>39</v>
      </c>
      <c r="E38" s="495" t="s">
        <v>159</v>
      </c>
    </row>
    <row r="39" spans="2:6" ht="15" thickBot="1">
      <c r="B39" s="1490"/>
      <c r="C39" s="483"/>
      <c r="D39" s="486" t="s">
        <v>40</v>
      </c>
      <c r="E39" s="496"/>
    </row>
    <row r="40" spans="2:6" ht="15" thickBot="1">
      <c r="B40" s="1490"/>
      <c r="C40" s="483"/>
      <c r="D40" s="486" t="s">
        <v>41</v>
      </c>
      <c r="E40" s="496"/>
    </row>
    <row r="41" spans="2:6" ht="15" thickBot="1">
      <c r="B41" s="1490"/>
      <c r="C41" s="483"/>
      <c r="D41" s="486" t="s">
        <v>42</v>
      </c>
      <c r="E41" s="496"/>
    </row>
    <row r="42" spans="2:6" ht="15" thickBot="1">
      <c r="B42" s="1490"/>
      <c r="C42" s="483"/>
      <c r="D42" s="486" t="s">
        <v>43</v>
      </c>
      <c r="E42" s="496"/>
    </row>
    <row r="43" spans="2:6" ht="15" thickBot="1">
      <c r="B43" s="1491"/>
      <c r="C43" s="157"/>
      <c r="D43" s="486" t="s">
        <v>44</v>
      </c>
      <c r="E43" s="496"/>
    </row>
    <row r="44" spans="2:6" ht="15" thickBot="1">
      <c r="B44" s="467"/>
      <c r="C44" s="468"/>
    </row>
    <row r="45" spans="2:6" ht="15" customHeight="1" thickBot="1">
      <c r="B45" s="497" t="s">
        <v>48</v>
      </c>
      <c r="C45" s="498"/>
      <c r="D45" s="498"/>
      <c r="E45" s="498"/>
      <c r="F45" s="499"/>
    </row>
    <row r="46" spans="2:6" ht="15" thickBot="1">
      <c r="B46" s="491" t="s">
        <v>49</v>
      </c>
      <c r="C46" s="500" t="s">
        <v>50</v>
      </c>
      <c r="D46" s="500" t="s">
        <v>51</v>
      </c>
      <c r="E46" s="500" t="s">
        <v>52</v>
      </c>
    </row>
    <row r="47" spans="2:6" ht="72.599999999999994" thickBot="1">
      <c r="B47" s="501">
        <v>42401</v>
      </c>
      <c r="C47" s="500">
        <v>0.01</v>
      </c>
      <c r="D47" s="502" t="s">
        <v>160</v>
      </c>
      <c r="E47" s="500"/>
    </row>
    <row r="48" spans="2:6" ht="15" thickBot="1">
      <c r="B48" s="467"/>
      <c r="C48" s="468"/>
    </row>
    <row r="49" spans="2:10">
      <c r="B49" s="503" t="s">
        <v>54</v>
      </c>
      <c r="C49" s="504"/>
    </row>
    <row r="51" spans="2:10" ht="15" thickBot="1"/>
    <row r="52" spans="2:10" ht="15" thickBot="1">
      <c r="B52" s="1492" t="s">
        <v>55</v>
      </c>
      <c r="C52" s="1493"/>
      <c r="D52" s="1494"/>
    </row>
    <row r="53" spans="2:10" ht="15" thickBot="1">
      <c r="B53" s="467"/>
      <c r="C53" s="468"/>
    </row>
    <row r="54" spans="2:10" ht="24" customHeight="1" thickBot="1">
      <c r="B54" s="505" t="s">
        <v>56</v>
      </c>
      <c r="C54" s="506"/>
      <c r="D54" s="1501" t="s">
        <v>131</v>
      </c>
      <c r="E54" s="1502"/>
      <c r="F54" s="1502"/>
      <c r="G54" s="1502"/>
      <c r="H54" s="1502"/>
      <c r="I54" s="1502"/>
      <c r="J54" s="1503"/>
    </row>
    <row r="55" spans="2:10">
      <c r="B55" s="1489" t="s">
        <v>58</v>
      </c>
      <c r="C55" s="482"/>
      <c r="D55" s="1510" t="s">
        <v>59</v>
      </c>
      <c r="E55" s="1511"/>
      <c r="F55" s="1511"/>
      <c r="G55" s="1511"/>
      <c r="H55" s="1511"/>
      <c r="I55" s="1511"/>
      <c r="J55" s="1512"/>
    </row>
    <row r="56" spans="2:10" ht="24" customHeight="1">
      <c r="B56" s="1490"/>
      <c r="C56" s="487"/>
      <c r="D56" s="1507" t="s">
        <v>132</v>
      </c>
      <c r="E56" s="1508"/>
      <c r="F56" s="1508"/>
      <c r="G56" s="1508"/>
      <c r="H56" s="1508"/>
      <c r="I56" s="1508"/>
      <c r="J56" s="1509"/>
    </row>
    <row r="57" spans="2:10">
      <c r="B57" s="1490"/>
      <c r="C57" s="487"/>
      <c r="D57" s="1513" t="s">
        <v>133</v>
      </c>
      <c r="E57" s="1514"/>
      <c r="F57" s="1514"/>
      <c r="G57" s="1514"/>
      <c r="H57" s="1514"/>
      <c r="I57" s="1514"/>
      <c r="J57" s="1515"/>
    </row>
    <row r="58" spans="2:10">
      <c r="B58" s="1490"/>
      <c r="C58" s="487"/>
      <c r="D58" s="1507" t="s">
        <v>134</v>
      </c>
      <c r="E58" s="1508"/>
      <c r="F58" s="1508"/>
      <c r="G58" s="1508"/>
      <c r="H58" s="1508"/>
      <c r="I58" s="1508"/>
      <c r="J58" s="1509"/>
    </row>
    <row r="59" spans="2:10">
      <c r="B59" s="1490"/>
      <c r="C59" s="487"/>
      <c r="D59" s="1507" t="s">
        <v>135</v>
      </c>
      <c r="E59" s="1508"/>
      <c r="F59" s="1508"/>
      <c r="G59" s="1508"/>
      <c r="H59" s="1508"/>
      <c r="I59" s="1508"/>
      <c r="J59" s="1509"/>
    </row>
    <row r="60" spans="2:10">
      <c r="B60" s="1490"/>
      <c r="C60" s="487"/>
      <c r="D60" s="1507" t="s">
        <v>136</v>
      </c>
      <c r="E60" s="1508"/>
      <c r="F60" s="1508"/>
      <c r="G60" s="1508"/>
      <c r="H60" s="1508"/>
      <c r="I60" s="1508"/>
      <c r="J60" s="1509"/>
    </row>
    <row r="61" spans="2:10" ht="24" customHeight="1">
      <c r="B61" s="1490"/>
      <c r="C61" s="487"/>
      <c r="D61" s="1507" t="s">
        <v>137</v>
      </c>
      <c r="E61" s="1508"/>
      <c r="F61" s="1508"/>
      <c r="G61" s="1508"/>
      <c r="H61" s="1508"/>
      <c r="I61" s="1508"/>
      <c r="J61" s="1509"/>
    </row>
    <row r="62" spans="2:10" ht="24" customHeight="1">
      <c r="B62" s="1490"/>
      <c r="C62" s="487"/>
      <c r="D62" s="1507" t="s">
        <v>138</v>
      </c>
      <c r="E62" s="1508"/>
      <c r="F62" s="1508"/>
      <c r="G62" s="1508"/>
      <c r="H62" s="1508"/>
      <c r="I62" s="1508"/>
      <c r="J62" s="1509"/>
    </row>
    <row r="63" spans="2:10">
      <c r="B63" s="1490"/>
      <c r="C63" s="487"/>
      <c r="D63" s="1507" t="s">
        <v>139</v>
      </c>
      <c r="E63" s="1508"/>
      <c r="F63" s="1508"/>
      <c r="G63" s="1508"/>
      <c r="H63" s="1508"/>
      <c r="I63" s="1508"/>
      <c r="J63" s="1509"/>
    </row>
    <row r="64" spans="2:10">
      <c r="B64" s="1490"/>
      <c r="C64" s="487"/>
      <c r="D64" s="1513" t="s">
        <v>140</v>
      </c>
      <c r="E64" s="1514"/>
      <c r="F64" s="1514"/>
      <c r="G64" s="1514"/>
      <c r="H64" s="1514"/>
      <c r="I64" s="1514"/>
      <c r="J64" s="1515"/>
    </row>
    <row r="65" spans="2:10" ht="15" thickBot="1">
      <c r="B65" s="1491"/>
      <c r="C65" s="492"/>
      <c r="D65" s="1498" t="s">
        <v>141</v>
      </c>
      <c r="E65" s="1499"/>
      <c r="F65" s="1499"/>
      <c r="G65" s="1499"/>
      <c r="H65" s="1499"/>
      <c r="I65" s="1499"/>
      <c r="J65" s="1500"/>
    </row>
    <row r="66" spans="2:10" ht="24.6" thickBot="1">
      <c r="B66" s="491" t="s">
        <v>71</v>
      </c>
      <c r="C66" s="492"/>
      <c r="D66" s="1501"/>
      <c r="E66" s="1502"/>
      <c r="F66" s="1502"/>
      <c r="G66" s="1502"/>
      <c r="H66" s="1502"/>
      <c r="I66" s="1502"/>
      <c r="J66" s="1503"/>
    </row>
    <row r="67" spans="2:10" ht="15" thickBot="1">
      <c r="B67" s="491" t="s">
        <v>72</v>
      </c>
      <c r="C67" s="492"/>
      <c r="D67" s="1501" t="s">
        <v>142</v>
      </c>
      <c r="E67" s="1502"/>
      <c r="F67" s="1502"/>
      <c r="G67" s="1502"/>
      <c r="H67" s="1502"/>
      <c r="I67" s="1502"/>
      <c r="J67" s="1503"/>
    </row>
    <row r="68" spans="2:10">
      <c r="B68" s="1489" t="s">
        <v>89</v>
      </c>
      <c r="C68" s="482"/>
      <c r="D68" s="1495"/>
      <c r="E68" s="1496"/>
      <c r="F68" s="1496"/>
      <c r="G68" s="1496"/>
      <c r="H68" s="1496"/>
      <c r="I68" s="1496"/>
      <c r="J68" s="1497"/>
    </row>
    <row r="69" spans="2:10">
      <c r="B69" s="1490"/>
      <c r="C69" s="487"/>
      <c r="D69" s="1504"/>
      <c r="E69" s="1505"/>
      <c r="F69" s="1505"/>
      <c r="G69" s="1505"/>
      <c r="H69" s="1505"/>
      <c r="I69" s="1505"/>
      <c r="J69" s="1506"/>
    </row>
    <row r="70" spans="2:10">
      <c r="B70" s="1490"/>
      <c r="C70" s="487"/>
      <c r="D70" s="1507" t="s">
        <v>90</v>
      </c>
      <c r="E70" s="1508"/>
      <c r="F70" s="1508"/>
      <c r="G70" s="1508"/>
      <c r="H70" s="1508"/>
      <c r="I70" s="1508"/>
      <c r="J70" s="1509"/>
    </row>
    <row r="71" spans="2:10" ht="26.4" customHeight="1">
      <c r="B71" s="1490"/>
      <c r="C71" s="487"/>
      <c r="D71" s="1507" t="s">
        <v>143</v>
      </c>
      <c r="E71" s="1508"/>
      <c r="F71" s="1508"/>
      <c r="G71" s="1508"/>
      <c r="H71" s="1508"/>
      <c r="I71" s="1508"/>
      <c r="J71" s="1509"/>
    </row>
    <row r="72" spans="2:10" ht="14.4" customHeight="1">
      <c r="B72" s="1490"/>
      <c r="C72" s="487"/>
      <c r="D72" s="1507" t="s">
        <v>144</v>
      </c>
      <c r="E72" s="1508"/>
      <c r="F72" s="1508"/>
      <c r="G72" s="1508"/>
      <c r="H72" s="1508"/>
      <c r="I72" s="1508"/>
      <c r="J72" s="1509"/>
    </row>
    <row r="73" spans="2:10" ht="14.4" customHeight="1">
      <c r="B73" s="1490"/>
      <c r="C73" s="487"/>
      <c r="D73" s="1507" t="s">
        <v>145</v>
      </c>
      <c r="E73" s="1508"/>
      <c r="F73" s="1508"/>
      <c r="G73" s="1508"/>
      <c r="H73" s="1508"/>
      <c r="I73" s="1508"/>
      <c r="J73" s="1509"/>
    </row>
    <row r="74" spans="2:10" ht="24" customHeight="1" thickBot="1">
      <c r="B74" s="1491"/>
      <c r="C74" s="492"/>
      <c r="D74" s="1498" t="s">
        <v>146</v>
      </c>
      <c r="E74" s="1499"/>
      <c r="F74" s="1499"/>
      <c r="G74" s="1499"/>
      <c r="H74" s="1499"/>
      <c r="I74" s="1499"/>
      <c r="J74" s="1500"/>
    </row>
  </sheetData>
  <mergeCells count="43">
    <mergeCell ref="B10:D10"/>
    <mergeCell ref="F10:S10"/>
    <mergeCell ref="F11:S11"/>
    <mergeCell ref="E12:R12"/>
    <mergeCell ref="E13:R13"/>
    <mergeCell ref="B52:D52"/>
    <mergeCell ref="D54:J54"/>
    <mergeCell ref="B55:B65"/>
    <mergeCell ref="D55:J55"/>
    <mergeCell ref="D56:J56"/>
    <mergeCell ref="D57:J57"/>
    <mergeCell ref="D58:J58"/>
    <mergeCell ref="D59:J59"/>
    <mergeCell ref="D60:J60"/>
    <mergeCell ref="D61:J61"/>
    <mergeCell ref="D62:J62"/>
    <mergeCell ref="D63:J63"/>
    <mergeCell ref="D64:J64"/>
    <mergeCell ref="D65:J65"/>
    <mergeCell ref="D66:J66"/>
    <mergeCell ref="B68:B74"/>
    <mergeCell ref="D68:J68"/>
    <mergeCell ref="D69:J69"/>
    <mergeCell ref="D70:J70"/>
    <mergeCell ref="D71:J71"/>
    <mergeCell ref="D72:J72"/>
    <mergeCell ref="D73:J73"/>
    <mergeCell ref="D74:J74"/>
    <mergeCell ref="D67:J67"/>
    <mergeCell ref="B28:B34"/>
    <mergeCell ref="B36:E36"/>
    <mergeCell ref="B37:B43"/>
    <mergeCell ref="B15:B23"/>
    <mergeCell ref="D15:J15"/>
    <mergeCell ref="D19:J19"/>
    <mergeCell ref="D24:J24"/>
    <mergeCell ref="D25:J25"/>
    <mergeCell ref="B27:E27"/>
    <mergeCell ref="A1:P1"/>
    <mergeCell ref="A2:P2"/>
    <mergeCell ref="A3:P3"/>
    <mergeCell ref="A4:D4"/>
    <mergeCell ref="A5:P5"/>
  </mergeCells>
  <conditionalFormatting sqref="E12:R12">
    <cfRule type="expression" dxfId="119" priority="1">
      <formula>E11="SI SE REPORTA"</formula>
    </cfRule>
  </conditionalFormatting>
  <conditionalFormatting sqref="F10">
    <cfRule type="notContainsBlanks" dxfId="118" priority="5">
      <formula>LEN(TRIM(F10))&gt;0</formula>
    </cfRule>
  </conditionalFormatting>
  <conditionalFormatting sqref="F11:S11">
    <cfRule type="expression" dxfId="117" priority="3">
      <formula>E11="NO SE REPORTA"</formula>
    </cfRule>
    <cfRule type="expression" dxfId="116" priority="4">
      <formula>E10="NO APLICA"</formula>
    </cfRule>
  </conditionalFormatting>
  <dataValidations count="4">
    <dataValidation type="whole" operator="greaterThanOrEqual" allowBlank="1" showErrorMessage="1" errorTitle="ERROR" error="Escriba un número igual o mayor que 0" promptTitle="ERROR" prompt="Escriba un número igual o mayor que 0" sqref="E16:E18 E21:H22" xr:uid="{00000000-0002-0000-0600-000000000000}">
      <formula1>0</formula1>
    </dataValidation>
    <dataValidation allowBlank="1" showInputMessage="1" showErrorMessage="1" sqref="I21:I22" xr:uid="{00000000-0002-0000-0600-000001000000}"/>
    <dataValidation type="list" allowBlank="1" showInputMessage="1" showErrorMessage="1" sqref="E11" xr:uid="{00000000-0002-0000-0600-000002000000}">
      <formula1>REPORTE</formula1>
    </dataValidation>
    <dataValidation type="list" allowBlank="1" showInputMessage="1" showErrorMessage="1" sqref="E10" xr:uid="{00000000-0002-0000-0600-000003000000}">
      <formula1>SI</formula1>
    </dataValidation>
  </dataValidations>
  <hyperlinks>
    <hyperlink ref="B9" location="'ANEXO 3'!A1" display="VOLVER AL INDICE" xr:uid="{00000000-0004-0000-0600-000000000000}"/>
    <hyperlink ref="E32" r:id="rId1" xr:uid="{00000000-0004-0000-0600-000001000000}"/>
  </hyperlinks>
  <pageMargins left="0.25" right="0.25" top="0.75" bottom="0.75" header="0.3" footer="0.3"/>
  <pageSetup paperSize="178" orientation="landscape" horizontalDpi="1200" verticalDpi="1200" r:id="rId2"/>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36</vt:i4>
      </vt:variant>
      <vt:variant>
        <vt:lpstr>Rangos con nombre</vt:lpstr>
      </vt:variant>
      <vt:variant>
        <vt:i4>7</vt:i4>
      </vt:variant>
    </vt:vector>
  </HeadingPairs>
  <TitlesOfParts>
    <vt:vector size="43" baseType="lpstr">
      <vt:lpstr>Hoja1</vt:lpstr>
      <vt:lpstr>Informe Ingresos</vt:lpstr>
      <vt:lpstr>PROTOCOLO INGRESOS</vt:lpstr>
      <vt:lpstr>Datos Generales</vt:lpstr>
      <vt:lpstr>Anexo 1 Matriz Inf Gestión</vt:lpstr>
      <vt:lpstr>Protocolo Inf Gestión</vt:lpstr>
      <vt:lpstr>Anexo 3 Matriz IMG</vt:lpstr>
      <vt:lpstr>1POMCAS</vt:lpstr>
      <vt:lpstr>2PORH</vt:lpstr>
      <vt:lpstr>3PSMV</vt:lpstr>
      <vt:lpstr>4UsoAguas</vt:lpstr>
      <vt:lpstr>5PUEAA</vt:lpstr>
      <vt:lpstr>6POMCASejec</vt:lpstr>
      <vt:lpstr>7Clima</vt:lpstr>
      <vt:lpstr>8Suelo</vt:lpstr>
      <vt:lpstr>9RUNAP</vt:lpstr>
      <vt:lpstr>10Paramos</vt:lpstr>
      <vt:lpstr>11Forest</vt:lpstr>
      <vt:lpstr>12PlanesAP</vt:lpstr>
      <vt:lpstr>13Amenaz</vt:lpstr>
      <vt:lpstr>14Invasor</vt:lpstr>
      <vt:lpstr>15Restaura</vt:lpstr>
      <vt:lpstr>16MIZC</vt:lpstr>
      <vt:lpstr>17PGIRS</vt:lpstr>
      <vt:lpstr>18Sector</vt:lpstr>
      <vt:lpstr>19GAU</vt:lpstr>
      <vt:lpstr>20Negoc</vt:lpstr>
      <vt:lpstr>21TiempoT</vt:lpstr>
      <vt:lpstr>22Autor</vt:lpstr>
      <vt:lpstr>23Sanc</vt:lpstr>
      <vt:lpstr>24POT</vt:lpstr>
      <vt:lpstr>25Redes</vt:lpstr>
      <vt:lpstr>26SIAC</vt:lpstr>
      <vt:lpstr>27Educa</vt:lpstr>
      <vt:lpstr>Observa</vt:lpstr>
      <vt:lpstr>Formulas</vt:lpstr>
      <vt:lpstr>'9RUNAP'!_Toc467769476</vt:lpstr>
      <vt:lpstr>'Anexo 1 Matriz Inf Gestión'!Área_de_impresión</vt:lpstr>
      <vt:lpstr>'Protocolo Inf Gestión'!Área_de_impresión</vt:lpstr>
      <vt:lpstr>'Datos Generales'!Lista_CAR</vt:lpstr>
      <vt:lpstr>REPORTE</vt:lpstr>
      <vt:lpstr>SI</vt:lpstr>
      <vt:lpstr>'Datos Generales'!Vigencias</vt:lpstr>
    </vt:vector>
  </TitlesOfParts>
  <Manager>nortiz@claro.net.co</Manager>
  <Company>Derechos protegidos de autor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Material de Capacitación a las CAR</dc:title>
  <dc:creator>Usuario</dc:creator>
  <cp:keywords>Documento No Oficial</cp:keywords>
  <dc:description>Matriz elaborada por Néstor Ortiz Pérez, Consultor GIZ-MADS en el marco de PROMAC</dc:description>
  <cp:lastModifiedBy>Rafael Moreno</cp:lastModifiedBy>
  <cp:lastPrinted>2016-11-27T02:57:50Z</cp:lastPrinted>
  <dcterms:created xsi:type="dcterms:W3CDTF">2016-11-26T19:57:08Z</dcterms:created>
  <dcterms:modified xsi:type="dcterms:W3CDTF">2024-04-04T14:39:48Z</dcterms:modified>
  <cp:category>Capacitación</cp:category>
  <cp:contentStatus>Preliminar</cp:contentStatus>
</cp:coreProperties>
</file>